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<sst xmlns="http://schemas.openxmlformats.org/spreadsheetml/2006/main" count="3121" uniqueCount="2078">
  <si>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</si>
  <si>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</si>
  <si>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</si>
  <si>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</si>
  <si>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</si>
  <si>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</si>
  <si>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</si>
  <si>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</si>
  <si>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</si>
  <si>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</si>
  <si>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</si>
  <si>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</si>
  <si>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</si>
  <si>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</si>
  <si>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</si>
  <si>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</si>
  <si>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</si>
  <si>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</si>
  <si>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</si>
  <si>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</si>
  <si>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</si>
  <si>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</si>
  <si>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</si>
  <si>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</si>
  <si>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</si>
  <si>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</si>
  <si>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</si>
  <si>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</si>
  <si>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</si>
  <si>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</si>
  <si>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</si>
  <si>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</si>
  <si>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</si>
  <si>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</si>
  <si>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</si>
  <si>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</si>
  <si>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</si>
  <si>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</si>
  <si>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</si>
  <si>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</si>
  <si>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</si>
  <si>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</si>
  <si>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</si>
  <si>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</si>
  <si>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</si>
  <si>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</si>
  <si>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</si>
  <si>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</si>
  <si>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</si>
  <si>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</si>
  <si>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</si>
  <si>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</si>
  <si>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</si>
  <si>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</si>
  <si>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</si>
  <si>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</si>
  <si>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</si>
  <si>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</si>
  <si>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</si>
  <si>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</si>
  <si>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</si>
  <si>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</si>
  <si>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</si>
  <si>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</si>
  <si>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</si>
  <si>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</si>
  <si>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</si>
  <si>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</si>
  <si>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</si>
  <si>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</si>
  <si>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</si>
  <si>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</si>
  <si>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</si>
  <si>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</si>
  <si>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</si>
  <si>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</si>
  <si>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</si>
  <si>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</si>
  <si>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</si>
  <si>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</si>
  <si>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</si>
  <si>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</si>
  <si>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</si>
  <si>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</si>
  <si>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</si>
  <si>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</si>
  <si>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</si>
  <si>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</si>
  <si>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</si>
  <si>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</si>
  <si>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</si>
  <si>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</si>
  <si>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</si>
  <si>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</si>
  <si>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</si>
  <si>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</si>
  <si>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</si>
  <si>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</si>
  <si>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</si>
  <si>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</si>
  <si>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</si>
  <si>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</si>
  <si>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</si>
  <si>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</si>
  <si>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</si>
  <si>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</si>
  <si>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</si>
  <si>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</si>
  <si>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</si>
  <si>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</si>
  <si>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</si>
  <si>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</si>
  <si>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</si>
  <si>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</si>
  <si>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</si>
  <si>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</si>
  <si>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</si>
  <si>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</si>
  <si>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</si>
  <si>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</si>
  <si>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</si>
  <si>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</si>
  <si>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</si>
  <si>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</si>
  <si>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</si>
  <si>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</si>
  <si>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</si>
  <si>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</si>
  <si>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</si>
  <si>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</si>
  <si>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</si>
  <si>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</si>
  <si>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</si>
  <si>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</si>
  <si>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</si>
  <si>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</si>
  <si>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</si>
  <si>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</si>
  <si>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</si>
  <si>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</si>
  <si>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</si>
  <si>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</si>
  <si>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</si>
  <si>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</si>
  <si>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</si>
  <si>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</si>
  <si>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</si>
  <si>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</si>
  <si>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</si>
  <si>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</si>
  <si>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</si>
  <si>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</si>
  <si>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</si>
  <si>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</si>
  <si>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</si>
  <si>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</si>
  <si>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</si>
  <si>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</si>
  <si>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</si>
  <si>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</si>
  <si>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</si>
  <si>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</si>
  <si>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</si>
  <si>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</si>
  <si>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</si>
  <si>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</si>
  <si>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</si>
  <si>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</si>
  <si>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</si>
  <si>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</si>
  <si>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</si>
  <si>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</si>
  <si>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</si>
  <si>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</si>
  <si>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</si>
  <si>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</si>
  <si>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</si>
  <si>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</si>
  <si>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</si>
  <si>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</si>
  <si>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</si>
  <si>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</si>
  <si>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</si>
  <si>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</si>
  <si>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</si>
  <si>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</si>
  <si>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</si>
  <si>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</si>
  <si>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</si>
  <si>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</si>
  <si>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</si>
  <si>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</si>
  <si>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</si>
  <si>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</si>
  <si>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</si>
  <si>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</si>
  <si>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</si>
  <si>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</si>
  <si>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</si>
  <si>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</si>
  <si>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</si>
  <si>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</si>
  <si>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</si>
  <si>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</si>
  <si>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</si>
  <si>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</si>
  <si>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</si>
  <si>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</si>
  <si>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</si>
  <si>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</si>
  <si>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</si>
  <si>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</si>
  <si>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</si>
  <si>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</si>
  <si>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</si>
  <si>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</si>
  <si>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</si>
  <si>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</si>
  <si>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</si>
  <si>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</si>
  <si>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</si>
  <si>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</si>
  <si>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</si>
  <si>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</si>
  <si>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</si>
  <si>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</si>
  <si>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</si>
  <si>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</si>
  <si>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</si>
  <si>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</si>
  <si>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</si>
  <si>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</si>
  <si>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</si>
  <si>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</si>
  <si>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</si>
  <si>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</si>
  <si>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</si>
  <si>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</si>
  <si>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</si>
  <si>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</si>
  <si>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</si>
  <si>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</si>
  <si>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</si>
  <si>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</si>
  <si>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</si>
  <si>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</si>
  <si>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</si>
  <si>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</si>
  <si>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</si>
  <si>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</si>
  <si>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</si>
  <si>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</si>
  <si>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</si>
  <si>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</si>
  <si>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</si>
  <si>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</si>
  <si>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</si>
  <si>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</si>
  <si>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</si>
  <si>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</si>
  <si>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</si>
  <si>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</si>
  <si>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</si>
  <si>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</si>
  <si>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</si>
  <si>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</si>
  <si>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</si>
  <si>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</si>
  <si>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</si>
  <si>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</si>
  <si>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</si>
  <si>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</si>
  <si>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</si>
  <si>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</si>
  <si>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</si>
  <si>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</si>
  <si>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</si>
  <si>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</si>
  <si>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</si>
  <si>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</si>
  <si>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</si>
  <si>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</si>
  <si>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</si>
  <si>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</si>
  <si>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</si>
  <si>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</si>
  <si>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</si>
  <si>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</si>
  <si>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</si>
  <si>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</si>
  <si>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</si>
  <si>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</si>
  <si>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</si>
  <si>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</si>
  <si>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</si>
  <si>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</si>
  <si>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</si>
  <si>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</si>
  <si>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</si>
  <si>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</si>
  <si>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</si>
  <si>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</si>
  <si>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</si>
  <si>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</si>
  <si>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</si>
  <si>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</si>
  <si>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</si>
  <si>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</si>
  <si>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</si>
  <si>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</si>
  <si>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</si>
  <si>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</si>
  <si>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</si>
  <si>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</si>
  <si>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</si>
  <si>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</si>
  <si>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</si>
  <si>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</si>
  <si>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</si>
  <si>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</si>
  <si>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</si>
  <si>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</si>
  <si>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</si>
  <si>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</si>
  <si>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</si>
  <si>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</si>
  <si>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</si>
  <si>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</si>
  <si>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</si>
  <si>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</si>
  <si>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</si>
  <si>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</si>
  <si>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</si>
  <si>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</si>
  <si>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</si>
  <si>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</si>
  <si>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</si>
  <si>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</si>
  <si>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</si>
  <si>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</si>
  <si>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</si>
  <si>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</si>
  <si>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</si>
  <si>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</si>
  <si>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</si>
  <si>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</si>
  <si>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</si>
  <si>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</si>
  <si>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</si>
  <si>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</si>
  <si>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</si>
  <si>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</si>
  <si>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</si>
  <si>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</si>
  <si>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</si>
  <si>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</si>
  <si>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</si>
  <si>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</si>
  <si>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</si>
  <si>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</si>
  <si>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</si>
  <si>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</si>
  <si>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</si>
  <si>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</si>
  <si>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</si>
  <si>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</si>
  <si>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</si>
  <si>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</si>
  <si>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</si>
  <si>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</si>
  <si>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</si>
  <si>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</si>
  <si>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</si>
  <si>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</si>
  <si>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</si>
  <si>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</si>
  <si>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</si>
  <si>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</si>
  <si>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</si>
  <si>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</si>
  <si>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</si>
  <si>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</si>
  <si>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</si>
  <si>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</si>
  <si>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</si>
  <si>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</si>
  <si>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</si>
  <si>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</si>
  <si>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</si>
  <si>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</si>
  <si>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</si>
  <si>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</si>
  <si>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</si>
  <si>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</si>
  <si>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</si>
  <si>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</si>
  <si>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</si>
  <si>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</si>
  <si>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</si>
  <si>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</si>
  <si>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</si>
  <si>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</si>
  <si>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</si>
  <si>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</si>
  <si>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</si>
  <si>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</si>
  <si>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</si>
  <si>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</si>
  <si>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</si>
  <si>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</si>
  <si>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</si>
  <si>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</si>
  <si>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</si>
  <si>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</si>
  <si>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</si>
  <si>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</si>
  <si>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</si>
  <si>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</si>
  <si>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</si>
  <si>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</si>
  <si>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</si>
  <si>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</si>
  <si>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</si>
  <si>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</si>
  <si>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</si>
  <si>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</si>
  <si>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</si>
  <si>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</si>
  <si>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</si>
  <si>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</si>
  <si>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</si>
  <si>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</si>
  <si>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</si>
  <si>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</si>
  <si>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</si>
  <si>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</si>
  <si>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</si>
  <si>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</si>
  <si>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</si>
  <si>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</si>
  <si>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</si>
  <si>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</si>
  <si>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</si>
  <si>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</si>
  <si>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</si>
  <si>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</si>
  <si>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</si>
  <si>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</si>
  <si>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</si>
  <si>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</si>
  <si>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</si>
  <si>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</si>
  <si>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</si>
  <si>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</si>
  <si>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</si>
  <si>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</si>
  <si>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</si>
  <si>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</si>
  <si>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</si>
  <si>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</si>
  <si>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</si>
  <si>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</si>
  <si>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</si>
  <si>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</si>
  <si>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</si>
  <si>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</si>
  <si>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</si>
  <si>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</si>
  <si>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</si>
  <si>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</si>
  <si>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</si>
  <si>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</si>
  <si>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</si>
  <si>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</si>
  <si>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</si>
  <si>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</si>
  <si>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</si>
  <si>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</si>
  <si>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</si>
  <si>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</si>
  <si>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</si>
  <si>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</si>
  <si>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</si>
  <si>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</si>
  <si>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</si>
  <si>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</si>
  <si>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</si>
  <si>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</si>
  <si>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</si>
  <si>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</si>
  <si>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</si>
  <si>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</si>
  <si>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</si>
  <si>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</si>
  <si>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</si>
  <si>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</si>
  <si>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</si>
  <si>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</si>
  <si>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</si>
  <si>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</si>
  <si>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</si>
  <si>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</si>
  <si>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</si>
  <si>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</si>
  <si>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</si>
  <si>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</si>
  <si>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</si>
  <si>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</si>
  <si>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</si>
  <si>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</si>
  <si>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</si>
  <si>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</si>
  <si>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</si>
  <si>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</si>
  <si>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</si>
  <si>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</si>
  <si>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</si>
  <si>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</si>
  <si>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</si>
  <si>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</si>
  <si>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</si>
  <si>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</si>
  <si>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</si>
  <si>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</si>
  <si>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</si>
  <si>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</si>
  <si>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</si>
  <si>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</si>
  <si>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</si>
  <si>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</si>
  <si>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</si>
  <si>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</si>
  <si>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</si>
  <si>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</si>
  <si>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</si>
  <si>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</si>
  <si>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</si>
  <si>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</si>
  <si>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</si>
  <si>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</si>
  <si>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</si>
  <si>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</si>
  <si>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</si>
  <si>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</si>
  <si>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</si>
  <si>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</si>
  <si>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</si>
  <si>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</si>
  <si>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</si>
  <si>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</si>
  <si>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</si>
  <si>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</si>
  <si>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</si>
  <si>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</si>
  <si>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</si>
  <si>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</si>
  <si>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</si>
  <si>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</si>
  <si>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</si>
  <si>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</si>
  <si>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</si>
  <si>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</si>
  <si>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</si>
  <si>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</si>
  <si>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</si>
  <si>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</si>
  <si>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</si>
  <si>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</si>
  <si>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</si>
  <si>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</si>
  <si>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</si>
  <si>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</si>
  <si>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</si>
  <si>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</si>
  <si>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</si>
  <si>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</si>
  <si>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</si>
  <si>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</si>
  <si>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</si>
  <si>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</si>
  <si>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</si>
  <si>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</si>
  <si>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</si>
  <si>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</si>
  <si>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</si>
  <si>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</si>
  <si>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</si>
  <si>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</si>
  <si>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</si>
  <si>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</si>
  <si>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</si>
  <si>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</si>
  <si>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</si>
  <si>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</si>
  <si>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</si>
  <si>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</si>
  <si>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</si>
  <si>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</si>
  <si>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</si>
  <si>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</si>
  <si>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</si>
  <si>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</si>
  <si>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</si>
  <si>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</si>
  <si>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</si>
  <si>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</si>
  <si>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</si>
  <si>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</si>
  <si>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</si>
  <si>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</si>
  <si>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</si>
  <si>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</si>
  <si>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</si>
  <si>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</si>
  <si>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</si>
  <si>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</si>
  <si>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</si>
  <si>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</si>
  <si>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</si>
  <si>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</si>
  <si>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</si>
  <si>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</si>
  <si>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</si>
  <si>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</si>
  <si>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</si>
  <si>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</si>
  <si>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</si>
  <si>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</si>
  <si>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</si>
  <si>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</si>
  <si>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</si>
  <si>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</si>
  <si>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</si>
  <si>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</si>
  <si>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</si>
  <si>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</si>
  <si>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</si>
  <si>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</si>
  <si>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</si>
  <si>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</si>
  <si>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</si>
  <si>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</si>
  <si>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</si>
  <si>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</si>
  <si>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</si>
  <si>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</si>
  <si>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</si>
  <si>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</si>
  <si>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</si>
  <si>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</si>
  <si>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</si>
  <si>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</si>
  <si>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</si>
  <si>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</si>
  <si>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</si>
  <si>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</si>
  <si>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</si>
  <si>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</si>
  <si>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</si>
  <si>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</si>
  <si>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</si>
  <si>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</si>
  <si>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</si>
  <si>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</si>
  <si>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</si>
  <si>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</si>
  <si>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</si>
  <si>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</si>
  <si>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</si>
  <si>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</si>
  <si>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</si>
  <si>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</si>
  <si>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</si>
  <si>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</si>
  <si>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</si>
  <si>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</si>
  <si>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</si>
  <si>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</si>
  <si>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</si>
  <si>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</si>
  <si>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</si>
  <si>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</si>
  <si>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</si>
  <si>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</si>
  <si>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</si>
  <si>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</si>
  <si>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</si>
  <si>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</si>
  <si>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</si>
  <si>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</si>
  <si>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</si>
  <si>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</si>
  <si>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</si>
  <si>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</si>
  <si>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</si>
  <si>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</si>
  <si>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</si>
  <si>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</si>
  <si>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</si>
  <si>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</si>
  <si>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</si>
  <si>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</si>
  <si>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</si>
  <si>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</si>
  <si>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</si>
  <si>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</si>
  <si>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</si>
  <si>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</si>
  <si>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</si>
  <si>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</si>
  <si>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</si>
  <si>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</si>
  <si>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</si>
  <si>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</si>
  <si>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</si>
  <si>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</si>
  <si>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</si>
  <si>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</si>
  <si>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</si>
  <si>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</si>
  <si>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</si>
  <si>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</si>
  <si>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</si>
  <si>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</si>
  <si>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</si>
  <si>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</si>
  <si>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</si>
  <si>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</si>
  <si>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</si>
  <si>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</si>
  <si>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</si>
  <si>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</si>
  <si>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</si>
  <si>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</si>
  <si>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</si>
  <si>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</si>
  <si>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</si>
  <si>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</si>
  <si>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</si>
  <si>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</si>
  <si>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</si>
  <si>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</si>
  <si>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</si>
  <si>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</si>
  <si>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</si>
  <si>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</si>
  <si>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</si>
  <si>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</si>
  <si>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</si>
  <si>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</si>
  <si>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</si>
  <si>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</si>
  <si>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</si>
  <si>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</si>
  <si>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</si>
  <si>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</si>
  <si>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</si>
  <si>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</si>
  <si>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</si>
  <si>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</si>
  <si>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</si>
  <si>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</si>
  <si>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</si>
  <si>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</si>
  <si>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</si>
  <si>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</si>
  <si>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</si>
  <si>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</si>
  <si>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</si>
  <si>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</si>
  <si>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</si>
  <si>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</si>
  <si>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</si>
  <si>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</si>
  <si>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</si>
  <si>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</si>
  <si>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</si>
  <si>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</si>
  <si>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</si>
  <si>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</si>
  <si>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</si>
  <si>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</si>
  <si>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</si>
  <si>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</si>
  <si>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</si>
  <si>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</si>
  <si>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</si>
  <si>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</si>
  <si>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</si>
  <si>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</si>
  <si>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</si>
  <si>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</si>
  <si>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</si>
  <si>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</si>
  <si>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</si>
  <si>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</si>
  <si>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</si>
  <si>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</si>
  <si>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</si>
  <si>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</si>
  <si>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</si>
  <si>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</si>
  <si>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</si>
  <si>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</si>
  <si>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</si>
  <si>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</si>
  <si>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</si>
  <si>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</si>
  <si>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</si>
  <si>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</si>
  <si>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</si>
  <si>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</si>
  <si>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</si>
  <si>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</si>
  <si>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</si>
  <si>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</si>
  <si>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</si>
  <si>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</si>
  <si>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</si>
  <si>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</si>
  <si>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</si>
  <si>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</si>
  <si>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</si>
  <si>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</si>
  <si>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</si>
  <si>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</si>
  <si>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</si>
  <si>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</si>
  <si>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</si>
  <si>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</si>
  <si>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</si>
  <si>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</si>
  <si>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</si>
  <si>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</si>
  <si>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</si>
  <si>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</si>
  <si>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</si>
  <si>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</si>
  <si>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</si>
  <si>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</si>
  <si>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</si>
  <si>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</si>
  <si>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</si>
  <si>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</si>
  <si>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</si>
  <si>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</si>
  <si>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</si>
  <si>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</si>
  <si>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</si>
  <si>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</si>
  <si>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</si>
  <si>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</si>
  <si>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</si>
  <si>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</si>
  <si>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</si>
  <si>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</si>
  <si>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</si>
  <si>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</si>
  <si>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</si>
  <si>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</si>
  <si>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</si>
  <si>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</si>
  <si>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</si>
  <si>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</si>
  <si>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</si>
  <si>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</si>
  <si>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</si>
  <si>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</si>
  <si>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</si>
  <si>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</si>
  <si>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</si>
  <si>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</si>
  <si>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</si>
  <si>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</si>
  <si>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</si>
  <si>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</si>
  <si>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</si>
  <si>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</si>
  <si>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</si>
  <si>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</si>
  <si>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</si>
  <si>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</si>
  <si>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</si>
  <si>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</si>
  <si>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</si>
  <si>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</si>
  <si>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</si>
  <si>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</si>
  <si>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</si>
  <si>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</si>
  <si>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</si>
  <si>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</si>
  <si>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</si>
  <si>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</si>
  <si>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</si>
  <si>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</si>
  <si>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</si>
  <si>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</si>
  <si>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</si>
  <si>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</si>
  <si>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</si>
  <si>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</si>
  <si>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</si>
  <si>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</si>
  <si>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</si>
  <si>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</si>
  <si>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</si>
  <si>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</si>
  <si>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</si>
  <si>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</si>
  <si>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</si>
  <si>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</si>
  <si>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</si>
  <si>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</si>
  <si>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</si>
  <si>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</si>
  <si>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</si>
  <si>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</si>
  <si>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</si>
  <si>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</si>
  <si>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</si>
  <si>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</si>
  <si>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</si>
  <si>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</si>
  <si>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</si>
  <si>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</si>
  <si>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</si>
  <si>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</si>
  <si>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</si>
  <si>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</si>
  <si>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</si>
  <si>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</si>
  <si>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</si>
  <si>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</si>
  <si>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</si>
  <si>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</si>
  <si>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</si>
  <si>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</si>
  <si>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</si>
  <si>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</si>
  <si>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</si>
  <si>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</si>
  <si>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</si>
  <si>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</si>
  <si>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</si>
  <si>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</si>
  <si>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</si>
  <si>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</si>
  <si>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</si>
  <si>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</si>
  <si>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</si>
  <si>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</si>
  <si>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</si>
  <si>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</si>
  <si>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</si>
  <si>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</si>
  <si>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</si>
  <si>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</si>
  <si>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</si>
  <si>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</si>
  <si>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</si>
  <si>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</si>
  <si>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</si>
  <si>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</si>
  <si>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</si>
  <si>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</si>
  <si>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</si>
  <si>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</si>
  <si>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</si>
  <si>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</si>
  <si>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</si>
  <si>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</si>
  <si>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</si>
  <si>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</si>
  <si>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</si>
  <si>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</si>
  <si>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</si>
  <si>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</si>
  <si>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</si>
  <si>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</si>
  <si>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</si>
  <si>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</si>
  <si>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</si>
  <si>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</si>
  <si>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</si>
  <si>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</si>
  <si>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</si>
  <si>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</si>
  <si>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</si>
  <si>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</si>
  <si>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</si>
  <si>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</si>
  <si>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</si>
  <si>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</si>
  <si>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</si>
  <si>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</si>
  <si>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</si>
  <si>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</si>
  <si>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</si>
  <si>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</si>
  <si>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</si>
  <si>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</si>
  <si>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</si>
  <si>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</si>
  <si>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</si>
  <si>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</si>
  <si>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</si>
  <si>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</si>
  <si>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</si>
  <si>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</si>
  <si>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</si>
  <si>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</si>
  <si>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</si>
  <si>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</si>
  <si>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</si>
  <si>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</si>
  <si>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</si>
  <si>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</si>
  <si>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</si>
  <si>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</si>
  <si>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</si>
  <si>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</si>
  <si>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</si>
  <si>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</si>
  <si>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</si>
  <si>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</si>
  <si>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</si>
  <si>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</si>
  <si>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</si>
  <si>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</si>
  <si>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</si>
  <si>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</si>
  <si>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</si>
  <si>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</si>
  <si>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</si>
  <si>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</si>
  <si>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</si>
  <si>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</si>
  <si>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</si>
  <si>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</si>
  <si>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</si>
  <si>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</si>
  <si>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</si>
  <si>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</si>
  <si>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</si>
  <si>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</si>
  <si>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</si>
  <si>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</si>
  <si>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</si>
  <si>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</si>
  <si>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</si>
  <si>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</si>
  <si>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</si>
  <si>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</si>
  <si>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</si>
  <si>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</si>
  <si>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</si>
  <si>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</si>
  <si>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</si>
  <si>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</si>
  <si>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</si>
  <si>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</si>
  <si>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</si>
  <si>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</si>
  <si>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</si>
  <si>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</si>
  <si>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</si>
  <si>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</si>
  <si>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</si>
  <si>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</si>
  <si>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</si>
  <si>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</si>
  <si>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</si>
  <si>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</si>
  <si>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</si>
  <si>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</si>
  <si>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</si>
  <si>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</si>
  <si>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</si>
  <si>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</si>
  <si>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</si>
  <si>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</si>
  <si>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</si>
  <si>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</si>
  <si>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</si>
  <si>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</si>
  <si>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</si>
  <si>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</si>
  <si>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</si>
  <si>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</si>
  <si>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</si>
  <si>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</si>
  <si>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</si>
  <si>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</si>
  <si>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</si>
  <si>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</si>
  <si>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</si>
  <si>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</si>
  <si>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</si>
  <si>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</si>
  <si>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</si>
  <si>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</si>
  <si>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</si>
  <si>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</si>
  <si>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</si>
  <si>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</si>
  <si>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</si>
  <si>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</si>
  <si>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</si>
  <si>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</si>
  <si>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</si>
  <si>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</si>
  <si>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</si>
  <si>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</si>
  <si>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</si>
  <si>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</si>
  <si>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</si>
  <si>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</si>
  <si>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</si>
  <si>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</si>
  <si>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</si>
  <si>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</si>
  <si>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</si>
  <si>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</si>
  <si>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</si>
  <si>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</si>
  <si>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</si>
  <si>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</si>
  <si>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</si>
  <si>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</si>
  <si>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</si>
  <si>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</si>
  <si>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</si>
  <si>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</si>
  <si>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</si>
  <si>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</si>
  <si>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</si>
  <si>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</si>
  <si>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</si>
  <si>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</si>
  <si>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</si>
  <si>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</si>
  <si>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</si>
  <si>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</si>
  <si>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</si>
  <si>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</si>
  <si>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</si>
  <si>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</si>
  <si>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</si>
  <si>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</si>
  <si>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</si>
  <si>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</si>
  <si>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</si>
  <si>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</si>
  <si>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</si>
  <si>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</si>
  <si>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</si>
  <si>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</si>
  <si>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</si>
  <si>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</si>
  <si>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</si>
  <si>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</si>
  <si>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</si>
  <si>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</si>
  <si>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</si>
  <si>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</si>
  <si>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</si>
  <si>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</si>
  <si>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</si>
  <si>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</si>
  <si>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</si>
  <si>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</si>
  <si>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</si>
  <si>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</si>
  <si>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</si>
  <si>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</si>
  <si>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</si>
  <si>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</si>
  <si>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</si>
  <si>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</si>
  <si>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</si>
  <si>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</si>
  <si>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</si>
  <si>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</si>
  <si>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</si>
  <si>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</si>
  <si>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</si>
  <si>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</si>
  <si>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</si>
  <si>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</si>
  <si>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</si>
  <si>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</si>
  <si>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</si>
  <si>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</si>
  <si>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</si>
  <si>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</si>
  <si>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</si>
  <si>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</si>
  <si>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</si>
  <si>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</si>
  <si>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</si>
  <si>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</si>
  <si>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</si>
  <si>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</si>
  <si>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</si>
  <si>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</si>
  <si>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</si>
  <si>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</si>
  <si>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</si>
  <si>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</si>
  <si>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</si>
  <si>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</si>
  <si>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</si>
  <si>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</si>
  <si>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</si>
  <si>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</si>
  <si>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</si>
  <si>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</si>
  <si>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</si>
  <si>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</si>
  <si>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</si>
  <si>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</si>
  <si>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</si>
  <si>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</si>
  <si>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</si>
  <si>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</si>
  <si>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</si>
  <si>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</si>
  <si>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</si>
  <si>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</si>
  <si>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</si>
  <si>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</si>
  <si>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</si>
  <si>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</si>
  <si>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</si>
  <si>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</si>
  <si>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</si>
  <si>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</si>
  <si>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</si>
  <si>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</si>
  <si>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</si>
  <si>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</si>
  <si>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</si>
  <si>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</si>
  <si>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</si>
  <si>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</si>
  <si>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</si>
  <si>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</si>
  <si>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</si>
  <si>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</si>
  <si>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</si>
  <si>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</si>
  <si>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</si>
  <si>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</si>
  <si>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</si>
  <si>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</si>
  <si>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</si>
  <si>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</si>
  <si>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</si>
  <si>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</si>
  <si>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</si>
  <si>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</si>
  <si>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</si>
  <si>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</si>
  <si>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</si>
  <si>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</si>
  <si>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</si>
  <si>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</si>
  <si>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</si>
  <si>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</si>
  <si>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</si>
  <si>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</si>
  <si>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</si>
  <si>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</si>
  <si>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</si>
  <si>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</si>
  <si>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</si>
  <si>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</si>
  <si>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</si>
  <si>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</si>
  <si>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</si>
  <si>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</si>
  <si>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</si>
  <si>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</si>
  <si>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</si>
  <si>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</si>
  <si>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</si>
  <si>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</si>
  <si>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</si>
  <si>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</si>
  <si>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</si>
  <si>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</si>
  <si>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</si>
  <si>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</si>
  <si>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</si>
  <si>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</si>
  <si>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</si>
  <si>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</si>
  <si>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</si>
  <si>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</si>
  <si>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</si>
  <si>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</si>
  <si>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</si>
  <si>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</si>
  <si>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</si>
  <si>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</si>
  <si>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</si>
  <si>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</si>
  <si>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</si>
  <si>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</si>
  <si>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</si>
  <si>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</si>
  <si>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</si>
  <si>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</si>
  <si>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</si>
  <si>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</si>
  <si>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</si>
  <si>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</si>
  <si>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</si>
  <si>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</si>
  <si>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</si>
  <si>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</si>
  <si>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</si>
  <si>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</si>
  <si>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</si>
  <si>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</si>
  <si>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</si>
  <si>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</si>
  <si>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</si>
  <si>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</si>
  <si>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</si>
  <si>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</si>
  <si>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</si>
  <si>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</si>
  <si>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</si>
  <si>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</si>
  <si>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</si>
  <si>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</si>
  <si>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</si>
  <si>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</si>
  <si>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</si>
  <si>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</si>
  <si>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</si>
  <si>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</si>
  <si>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</si>
  <si>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</si>
  <si>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</si>
  <si>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</si>
  <si>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</si>
  <si>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</si>
  <si>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</si>
  <si>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</si>
  <si>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</si>
  <si>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</si>
  <si>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</si>
  <si>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</si>
  <si>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</si>
  <si>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</si>
  <si>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</si>
  <si>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</si>
  <si>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</si>
  <si>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</si>
  <si>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</si>
  <si>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</si>
  <si>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</si>
  <si>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</si>
  <si>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</si>
  <si>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</si>
  <si>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</si>
  <si>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</si>
  <si>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</si>
  <si>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</si>
  <si>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</si>
  <si>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</si>
  <si>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</si>
  <si>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</si>
  <si>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</si>
  <si>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</si>
  <si>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</si>
  <si>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</si>
  <si>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</si>
  <si>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</si>
  <si>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</si>
  <si>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</si>
  <si>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</si>
  <si>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</si>
  <si>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</si>
  <si>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</si>
  <si>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</si>
  <si>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</si>
  <si>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</si>
  <si>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</si>
  <si>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</si>
  <si>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</si>
  <si>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</si>
  <si>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</si>
  <si>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</si>
  <si>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</si>
  <si>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</si>
  <si>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</si>
  <si>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</si>
  <si>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</si>
  <si>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</si>
  <si>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</si>
  <si>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</si>
  <si>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</si>
  <si>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</si>
  <si>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</si>
  <si>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</si>
  <si>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</si>
  <si>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</si>
  <si>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</si>
  <si>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</si>
  <si>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</si>
  <si>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</si>
  <si>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</si>
  <si>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</si>
  <si>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</si>
  <si>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</si>
  <si>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</si>
  <si>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</si>
  <si>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</si>
  <si>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</si>
  <si>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</si>
  <si>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</si>
  <si>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</si>
  <si>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</si>
  <si>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</si>
  <si>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</si>
  <si>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</si>
  <si>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</si>
  <si>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</si>
  <si>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</si>
  <si>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</si>
  <si>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</si>
  <si>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</si>
  <si>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</si>
  <si>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</si>
  <si>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</si>
  <si>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</si>
  <si>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</si>
  <si>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</si>
  <si>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</si>
  <si>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</si>
  <si>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</si>
  <si>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</si>
  <si>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</si>
  <si>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</si>
  <si>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</si>
  <si>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</si>
  <si>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</si>
  <si>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</si>
  <si>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</si>
  <si>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</si>
  <si>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</si>
  <si>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</si>
  <si>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</si>
  <si>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</si>
  <si>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</si>
  <si>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</si>
  <si>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</si>
  <si>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</si>
  <si>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</si>
  <si>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</si>
  <si>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</si>
  <si>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</si>
  <si>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</si>
  <si>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</si>
  <si>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</si>
  <si>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</si>
  <si>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</si>
  <si>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</si>
  <si>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</si>
  <si>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</si>
  <si>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</si>
  <si>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</si>
  <si>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</si>
  <si>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</si>
  <si>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</si>
  <si>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</si>
  <si>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</si>
  <si>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</si>
  <si>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</si>
  <si>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</si>
  <si>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</si>
  <si>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</si>
  <si>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</si>
  <si>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</si>
  <si>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</si>
  <si>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</si>
  <si>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</si>
  <si>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</si>
  <si>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</si>
  <si>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</si>
  <si>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</si>
  <si>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</si>
  <si>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</si>
  <si>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</si>
  <si>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</si>
  <si>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</si>
  <si>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</si>
  <si>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</si>
  <si>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</si>
  <si>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</si>
  <si>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</si>
  <si>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</si>
  <si>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</si>
  <si>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</si>
  <si>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</si>
  <si>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</si>
  <si>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</si>
  <si>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</si>
  <si>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</si>
  <si>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</si>
  <si>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</si>
  <si>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</si>
  <si>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</si>
  <si>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</si>
  <si>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</si>
  <si>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</si>
  <si>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</si>
  <si>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</si>
  <si>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</si>
  <si>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</si>
  <si>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</si>
  <si>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</si>
  <si>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</si>
  <si>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</si>
  <si>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</si>
  <si>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</si>
  <si>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</si>
  <si>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</si>
  <si>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</si>
  <si>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</si>
  <si>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</si>
  <si>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</si>
  <si>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</si>
  <si>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</si>
  <si>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</si>
  <si>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</si>
  <si>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</si>
  <si>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</si>
  <si>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</si>
  <si>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</si>
  <si>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</si>
  <si>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</si>
  <si>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</si>
  <si>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</si>
  <si>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</si>
  <si>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</si>
  <si>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</si>
  <si>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</si>
  <si>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</si>
  <si>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</si>
  <si>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</si>
  <si>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</si>
  <si>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</si>
  <si>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</si>
  <si>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</si>
  <si>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</si>
  <si>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</si>
  <si>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</si>
  <si>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</si>
  <si>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</si>
  <si>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</si>
  <si>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</si>
  <si>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</si>
  <si>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</si>
  <si>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</si>
  <si>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</si>
  <si>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</si>
  <si>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</si>
  <si>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</si>
  <si>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</si>
  <si>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</si>
  <si>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</si>
  <si>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</si>
  <si>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</si>
  <si>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</si>
  <si>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</si>
  <si>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</si>
  <si>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</si>
  <si>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</si>
  <si>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</si>
  <si>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</si>
  <si>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</si>
  <si>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</si>
  <si>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</si>
  <si>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</si>
  <si>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</si>
  <si>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</si>
  <si>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</si>
  <si>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</si>
  <si>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</si>
  <si>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</si>
  <si>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</si>
  <si>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</si>
  <si>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</si>
  <si>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</si>
  <si>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</si>
  <si>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</si>
  <si>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</si>
  <si>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</si>
  <si>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</si>
  <si>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</si>
  <si>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</si>
  <si>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</si>
  <si>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</si>
  <si>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</si>
  <si>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</si>
  <si>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</si>
  <si>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</si>
  <si>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</si>
  <si>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</si>
  <si>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</si>
  <si>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</si>
  <si>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</si>
  <si>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</si>
  <si>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</si>
  <si>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</si>
  <si>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</si>
  <si>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</si>
  <si>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</si>
  <si>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</si>
  <si>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</si>
  <si>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</si>
  <si>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</si>
  <si>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</si>
  <si>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</si>
  <si>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</si>
  <si>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</si>
  <si>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</si>
  <si>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</si>
  <si>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</si>
  <si>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</si>
  <si>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</si>
  <si>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</si>
  <si>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</si>
  <si>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</si>
  <si>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</si>
  <si>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</si>
  <si>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</si>
  <si>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</si>
  <si>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</si>
  <si>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</si>
  <si>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</si>
  <si>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</si>
  <si>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</si>
  <si>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</si>
  <si>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</si>
  <si>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</si>
  <si>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</si>
  <si>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</si>
  <si>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</si>
  <si>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</si>
  <si>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</si>
  <si>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</si>
  <si>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</si>
  <si>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</si>
  <si>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</si>
  <si>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</si>
  <si>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</si>
  <si>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</si>
  <si>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</si>
  <si>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</si>
  <si>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</si>
  <si>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</si>
  <si>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</si>
  <si>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</si>
  <si>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</si>
  <si>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</si>
  <si>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</si>
  <si>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</si>
  <si>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</si>
  <si>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</si>
  <si>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</si>
  <si>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</si>
  <si>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</si>
  <si>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</si>
  <si>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</si>
  <si>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</si>
  <si>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</si>
  <si>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</si>
  <si>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</si>
  <si>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</si>
  <si>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</si>
  <si>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</si>
  <si>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</si>
  <si>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</si>
  <si>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</si>
  <si>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</si>
  <si>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</si>
  <si>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</si>
  <si>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</si>
  <si>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</si>
  <si>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</si>
  <si>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</si>
  <si>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</si>
  <si>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</si>
  <si>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</si>
  <si>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</si>
  <si>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</si>
  <si>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</si>
  <si>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</si>
  <si>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</si>
  <si>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</si>
  <si>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</si>
  <si>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</si>
  <si>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</si>
  <si>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</si>
  <si>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</si>
  <si>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</si>
  <si>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</si>
  <si>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</si>
  <si>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</si>
  <si>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</si>
  <si>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</si>
  <si>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</si>
  <si>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</si>
  <si>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</si>
  <si>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</si>
  <si>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</si>
  <si>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</si>
  <si>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</si>
  <si>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</si>
  <si>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</si>
  <si>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</si>
  <si>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</si>
  <si>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</si>
  <si>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</si>
  <si>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</si>
  <si>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</si>
  <si>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</si>
  <si>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</si>
  <si>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</si>
  <si>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</si>
  <si>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</si>
  <si>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</si>
  <si>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</si>
  <si>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</si>
  <si>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</si>
  <si>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</si>
  <si>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</si>
  <si>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</si>
  <si>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</si>
  <si>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</si>
  <si>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</si>
  <si>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</si>
  <si>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</si>
  <si>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</si>
  <si>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</si>
  <si>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</si>
  <si>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</si>
  <si>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</si>
  <si>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</si>
  <si>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</si>
  <si>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</si>
  <si>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</si>
  <si>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</si>
  <si>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</si>
  <si>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</si>
  <si>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</si>
  <si>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</si>
  <si>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</si>
  <si>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</si>
  <si>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</si>
  <si>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</si>
  <si>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</si>
  <si>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</si>
  <si>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</si>
  <si>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</si>
  <si>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</si>
  <si>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</si>
  <si>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</si>
  <si>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</si>
  <si>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</si>
  <si>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</si>
  <si>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</si>
  <si>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</si>
  <si>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</si>
  <si>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</si>
  <si>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</si>
  <si>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</si>
  <si>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</si>
  <si>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</si>
  <si>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</si>
  <si>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</si>
  <si>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</si>
  <si>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</si>
  <si>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</si>
  <si>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</si>
  <si>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</si>
  <si>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</si>
  <si>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</si>
  <si>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</si>
  <si>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</si>
  <si>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</si>
  <si>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</si>
  <si>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</si>
  <si>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</si>
  <si>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</si>
  <si>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</si>
  <si>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</si>
  <si>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</si>
  <si>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</si>
  <si>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</si>
  <si>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</si>
  <si>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</si>
  <si>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</si>
  <si>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</si>
  <si>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</si>
  <si>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</si>
  <si>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</si>
  <si>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</si>
  <si>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</si>
  <si>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</si>
  <si>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</si>
  <si>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</si>
  <si>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</si>
  <si>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</si>
  <si>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</si>
  <si>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</si>
  <si>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</si>
  <si>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</si>
  <si>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</si>
  <si>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</si>
  <si>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</si>
  <si>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</si>
  <si>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</si>
  <si>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</si>
  <si>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</si>
  <si>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</si>
  <si>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</si>
  <si>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</si>
  <si>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</si>
  <si>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</si>
  <si>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</si>
  <si>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</si>
  <si>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</si>
  <si>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</si>
  <si>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</si>
  <si>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</si>
  <si>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</si>
  <si>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</si>
  <si>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</si>
  <si>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</si>
  <si>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</si>
  <si>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</si>
  <si>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</si>
  <si>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</si>
  <si>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</si>
  <si>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</si>
  <si>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</si>
  <si>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</si>
  <si>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</si>
  <si>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</si>
  <si>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</si>
  <si>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</si>
  <si>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</si>
  <si>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</si>
  <si>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</si>
  <si>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</si>
  <si>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</si>
  <si>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</si>
  <si>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</si>
  <si>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</si>
  <si>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</si>
  <si>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</si>
  <si>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</si>
  <si>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</si>
  <si>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</si>
  <si>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</si>
  <si>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</si>
  <si>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</si>
  <si>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</si>
  <si>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</si>
  <si>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</si>
  <si>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</si>
  <si>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</si>
  <si>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</si>
  <si>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</si>
  <si>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</si>
  <si>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</si>
  <si>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</si>
  <si>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</si>
  <si>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</si>
  <si>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</si>
  <si>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</si>
  <si>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</si>
  <si>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</si>
  <si>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</si>
  <si>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</si>
  <si>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</si>
  <si>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</si>
  <si>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</si>
  <si>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</si>
  <si>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</si>
  <si>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</si>
  <si>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</si>
  <si>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</si>
  <si>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</si>
  <si>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</si>
  <si>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</si>
  <si>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</si>
  <si>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</si>
  <si>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</si>
  <si>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</si>
  <si>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</si>
  <si>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</si>
  <si>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</si>
  <si>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</si>
  <si>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</si>
  <si>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</si>
  <si>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</si>
  <si>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</si>
  <si>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</si>
  <si>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</si>
  <si>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</si>
  <si>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</si>
  <si>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</si>
  <si>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</si>
  <si>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</si>
  <si>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</si>
  <si>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</si>
  <si>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</si>
  <si>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</si>
  <si>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</si>
  <si>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</si>
  <si>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</si>
  <si>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</si>
  <si>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</si>
  <si>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</si>
  <si>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</si>
  <si>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</si>
  <si>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</si>
  <si>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</si>
  <si>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</si>
  <si>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</si>
  <si>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</si>
  <si>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</si>
  <si>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</si>
  <si>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</si>
  <si>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</si>
  <si>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</si>
  <si>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</si>
  <si>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</si>
  <si>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</si>
  <si>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</si>
  <si>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</si>
  <si>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</si>
  <si>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</si>
  <si>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</si>
  <si>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</si>
  <si>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</si>
  <si>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</si>
  <si>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</si>
  <si>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</si>
  <si>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</si>
  <si>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</si>
  <si>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</si>
  <si>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</si>
  <si>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</si>
  <si>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</si>
  <si>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</si>
  <si>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</si>
  <si>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</si>
  <si>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</si>
  <si>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</si>
  <si>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</si>
  <si>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</si>
  <si>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</si>
  <si>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</si>
  <si>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</si>
  <si>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</si>
  <si>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</si>
  <si>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</si>
  <si>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</si>
  <si>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</si>
  <si>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</si>
  <si>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</si>
  <si>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</si>
  <si>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</si>
  <si>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</si>
  <si>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</si>
  <si>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</si>
  <si>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</si>
  <si>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</si>
  <si>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</si>
  <si>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</si>
  <si>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</si>
  <si>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</si>
  <si>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</si>
  <si>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</si>
  <si>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</si>
  <si>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</si>
  <si>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</si>
  <si>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</si>
  <si>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</si>
  <si>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</si>
  <si>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</si>
  <si>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</si>
  <si>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</si>
  <si>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</si>
  <si>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</si>
  <si>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</si>
  <si>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</si>
  <si>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</si>
  <si>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</si>
  <si>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</si>
  <si>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</si>
  <si>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</si>
  <si>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</si>
  <si>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</si>
  <si>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</si>
  <si>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</si>
  <si>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</si>
  <si>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</si>
  <si>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</si>
  <si>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</si>
  <si>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</si>
  <si>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</si>
  <si>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</si>
  <si>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</si>
  <si>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</si>
  <si>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</si>
  <si>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</si>
  <si>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</si>
  <si>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</si>
  <si>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</si>
  <si>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</si>
  <si>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</si>
  <si>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</si>
  <si>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</si>
  <si>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</si>
  <si>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</si>
  <si>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</si>
  <si>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</si>
  <si>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</si>
  <si>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</si>
  <si>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</si>
  <si>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</si>
  <si>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</si>
  <si>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</si>
  <si>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</si>
  <si>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</si>
  <si>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</si>
  <si>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</si>
  <si>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</si>
  <si>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</si>
  <si>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</si>
  <si>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</si>
  <si>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</si>
  <si>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</si>
  <si>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</si>
  <si>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</si>
  <si>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</si>
  <si>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</si>
  <si>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</si>
  <si>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</si>
  <si>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</si>
  <si>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</si>
  <si>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</si>
  <si>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</si>
  <si>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</si>
  <si>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</si>
  <si>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</si>
  <si>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</si>
  <si>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</si>
  <si>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</si>
  <si>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</si>
  <si>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</si>
  <si>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</si>
  <si>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</si>
  <si>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b1032</t>
  </si>
  <si>
    <t>Анеса Ботева-Георгиева</t>
  </si>
  <si>
    <t>Светла Господинова</t>
  </si>
  <si>
    <t xml:space="preserve">Д-р Юксел Ахмед </t>
  </si>
  <si>
    <t>finansi_dulovo@abv.bg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</si>
</sst>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5" t="str">
        <f>+OTCHET!B9</f>
        <v>Дулово</v>
      </c>
      <c r="C2" s="1666"/>
      <c r="D2" s="1667"/>
      <c r="E2" s="1019"/>
      <c r="F2" s="1020">
        <f>+OTCHET!H9</f>
        <v>0</v>
      </c>
      <c r="G2" s="1021" t="str">
        <f>+OTCHET!F12</f>
        <v>6903</v>
      </c>
      <c r="H2" s="1022"/>
      <c r="I2" s="1668">
        <f>+OTCHET!H607</f>
        <v>0</v>
      </c>
      <c r="J2" s="1669"/>
      <c r="K2" s="1013"/>
      <c r="L2" s="1670" t="str">
        <f>OTCHET!H605</f>
        <v>finansi_dulovo@abv.bg</v>
      </c>
      <c r="M2" s="1671"/>
      <c r="N2" s="167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673">
        <f>+OTCHET!I9</f>
        <v>0</v>
      </c>
      <c r="U2" s="167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675" t="s">
        <v>996</v>
      </c>
      <c r="T4" s="1675"/>
      <c r="U4" s="167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998</v>
      </c>
      <c r="O6" s="1008"/>
      <c r="P6" s="1045">
        <f>OTCHET!F9</f>
        <v>43830</v>
      </c>
      <c r="Q6" s="1044" t="s">
        <v>998</v>
      </c>
      <c r="R6" s="1046"/>
      <c r="S6" s="1676">
        <f>+Q4</f>
        <v>2019</v>
      </c>
      <c r="T6" s="1676"/>
      <c r="U6" s="167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677" t="s">
        <v>975</v>
      </c>
      <c r="T8" s="1678"/>
      <c r="U8" s="167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680" t="s">
        <v>976</v>
      </c>
      <c r="T9" s="1681"/>
      <c r="U9" s="168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1013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6" t="s">
        <v>2036</v>
      </c>
      <c r="T14" s="1687"/>
      <c r="U14" s="168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89" t="s">
        <v>2035</v>
      </c>
      <c r="T15" s="1690"/>
      <c r="U15" s="169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6" t="s">
        <v>1015</v>
      </c>
      <c r="T16" s="1687"/>
      <c r="U16" s="168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6" t="s">
        <v>1017</v>
      </c>
      <c r="T17" s="1687"/>
      <c r="U17" s="168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6" t="s">
        <v>1019</v>
      </c>
      <c r="T18" s="1687"/>
      <c r="U18" s="168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6" t="s">
        <v>1021</v>
      </c>
      <c r="T19" s="1687"/>
      <c r="U19" s="168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75</v>
      </c>
      <c r="J20" s="1114">
        <f t="shared" si="3"/>
        <v>75</v>
      </c>
      <c r="K20" s="1095"/>
      <c r="L20" s="1114">
        <f t="shared" si="4"/>
        <v>0</v>
      </c>
      <c r="M20" s="1095"/>
      <c r="N20" s="1115">
        <f t="shared" si="5"/>
        <v>75</v>
      </c>
      <c r="O20" s="1097"/>
      <c r="P20" s="1113">
        <f>+ROUND(+SUM(OTCHET!E81:E89),0)</f>
        <v>75</v>
      </c>
      <c r="Q20" s="1114">
        <f>+ROUND(+SUM(OTCHET!L81:L89),0)</f>
        <v>75</v>
      </c>
      <c r="R20" s="1046"/>
      <c r="S20" s="1686" t="s">
        <v>1023</v>
      </c>
      <c r="T20" s="1687"/>
      <c r="U20" s="168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6" t="s">
        <v>1025</v>
      </c>
      <c r="T21" s="1687"/>
      <c r="U21" s="168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2" t="s">
        <v>2037</v>
      </c>
      <c r="T22" s="1693"/>
      <c r="U22" s="169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75</v>
      </c>
      <c r="J23" s="1125">
        <f>+ROUND(+SUM(J13,J14,J16,J17,J18,J19,J20,J21,J22),0)</f>
        <v>75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75</v>
      </c>
      <c r="O23" s="1097"/>
      <c r="P23" s="1125">
        <f>+ROUND(+SUM(P13,P14,P16,P17,P18,P19,P20,P21,P22),0)</f>
        <v>75</v>
      </c>
      <c r="Q23" s="1125">
        <f>+ROUND(+SUM(Q13,Q14,Q16,Q17,Q18,Q19,Q20,Q21,Q22),0)</f>
        <v>75</v>
      </c>
      <c r="R23" s="1046"/>
      <c r="S23" s="1695" t="s">
        <v>1028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1031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6" t="s">
        <v>1033</v>
      </c>
      <c r="T26" s="1687"/>
      <c r="U26" s="168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2" t="s">
        <v>1035</v>
      </c>
      <c r="T27" s="1693"/>
      <c r="U27" s="169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1037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1044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8" t="s">
        <v>1046</v>
      </c>
      <c r="T36" s="1699"/>
      <c r="U36" s="170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1" t="s">
        <v>1048</v>
      </c>
      <c r="T37" s="1702"/>
      <c r="U37" s="170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4" t="s">
        <v>1050</v>
      </c>
      <c r="T38" s="1705"/>
      <c r="U38" s="170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1052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1055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6" t="s">
        <v>1057</v>
      </c>
      <c r="T43" s="1687"/>
      <c r="U43" s="168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6" t="s">
        <v>1058</v>
      </c>
      <c r="T44" s="1687"/>
      <c r="U44" s="168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2" t="s">
        <v>1060</v>
      </c>
      <c r="T45" s="1693"/>
      <c r="U45" s="169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1062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75</v>
      </c>
      <c r="J48" s="1200">
        <f>+ROUND(J23+J28+J35+J40+J46,0)</f>
        <v>75</v>
      </c>
      <c r="K48" s="1095"/>
      <c r="L48" s="1200">
        <f>+ROUND(L23+L28+L35+L40+L46,0)</f>
        <v>0</v>
      </c>
      <c r="M48" s="1095"/>
      <c r="N48" s="1201">
        <f>+ROUND(N23+N28+N35+N40+N46,0)</f>
        <v>75</v>
      </c>
      <c r="O48" s="1202"/>
      <c r="P48" s="1199">
        <f>+ROUND(P23+P28+P35+P40+P46,0)</f>
        <v>75</v>
      </c>
      <c r="Q48" s="1200">
        <f>+ROUND(Q23+Q28+Q35+Q40+Q46,0)</f>
        <v>75</v>
      </c>
      <c r="R48" s="1046"/>
      <c r="S48" s="1707" t="s">
        <v>1064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53450</v>
      </c>
      <c r="J51" s="1102">
        <f>+IF(OR($P$2=98,$P$2=42,$P$2=96,$P$2=97),$Q51,0)</f>
        <v>36479</v>
      </c>
      <c r="K51" s="1095"/>
      <c r="L51" s="1102">
        <f>+IF($P$2=33,$Q51,0)</f>
        <v>0</v>
      </c>
      <c r="M51" s="1095"/>
      <c r="N51" s="1132">
        <f>+ROUND(+G51+J51+L51,0)</f>
        <v>36479</v>
      </c>
      <c r="O51" s="1097"/>
      <c r="P51" s="1101">
        <f>+ROUND(OTCHET!E205-SUM(OTCHET!E217:E219)+OTCHET!E271+IF(+OR(OTCHET!$F$12=5500,OTCHET!$F$12=5600),0,+OTCHET!E297),0)</f>
        <v>53450</v>
      </c>
      <c r="Q51" s="1102">
        <f>+ROUND(OTCHET!L205-SUM(OTCHET!L217:L219)+OTCHET!L271+IF(+OR(OTCHET!$F$12=5500,OTCHET!$F$12=5600),0,+OTCHET!L297),0)</f>
        <v>36479</v>
      </c>
      <c r="R51" s="1046"/>
      <c r="S51" s="1683" t="s">
        <v>1068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6" t="s">
        <v>1070</v>
      </c>
      <c r="T52" s="1687"/>
      <c r="U52" s="168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6" t="s">
        <v>1072</v>
      </c>
      <c r="T53" s="1687"/>
      <c r="U53" s="168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764967</v>
      </c>
      <c r="J54" s="1120">
        <f>+IF(OR($P$2=98,$P$2=42,$P$2=96,$P$2=97),$Q54,0)</f>
        <v>659044</v>
      </c>
      <c r="K54" s="1095"/>
      <c r="L54" s="1120">
        <f>+IF($P$2=33,$Q54,0)</f>
        <v>0</v>
      </c>
      <c r="M54" s="1095"/>
      <c r="N54" s="1121">
        <f>+ROUND(+G54+J54+L54,0)</f>
        <v>659044</v>
      </c>
      <c r="O54" s="1097"/>
      <c r="P54" s="1119">
        <f>+ROUND(OTCHET!E187+OTCHET!E190,0)</f>
        <v>764967</v>
      </c>
      <c r="Q54" s="1120">
        <f>+ROUND(OTCHET!L187+OTCHET!L190,0)</f>
        <v>659044</v>
      </c>
      <c r="R54" s="1046"/>
      <c r="S54" s="1686" t="s">
        <v>1074</v>
      </c>
      <c r="T54" s="1687"/>
      <c r="U54" s="168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159175</v>
      </c>
      <c r="J55" s="1120">
        <f>+IF(OR($P$2=98,$P$2=42,$P$2=96,$P$2=97),$Q55,0)</f>
        <v>130960</v>
      </c>
      <c r="K55" s="1095"/>
      <c r="L55" s="1120">
        <f>+IF($P$2=33,$Q55,0)</f>
        <v>0</v>
      </c>
      <c r="M55" s="1095"/>
      <c r="N55" s="1121">
        <f>+ROUND(+G55+J55+L55,0)</f>
        <v>130960</v>
      </c>
      <c r="O55" s="1097"/>
      <c r="P55" s="1119">
        <f>+ROUND(OTCHET!E196+OTCHET!E204,0)</f>
        <v>159175</v>
      </c>
      <c r="Q55" s="1120">
        <f>+ROUND(OTCHET!L196+OTCHET!L204,0)</f>
        <v>130960</v>
      </c>
      <c r="R55" s="1046"/>
      <c r="S55" s="1692" t="s">
        <v>1076</v>
      </c>
      <c r="T55" s="1693"/>
      <c r="U55" s="169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977592</v>
      </c>
      <c r="J56" s="1208">
        <f>+ROUND(+SUM(J51:J55),0)</f>
        <v>826483</v>
      </c>
      <c r="K56" s="1095"/>
      <c r="L56" s="1208">
        <f>+ROUND(+SUM(L51:L55),0)</f>
        <v>0</v>
      </c>
      <c r="M56" s="1095"/>
      <c r="N56" s="1209">
        <f>+ROUND(+SUM(N51:N55),0)</f>
        <v>826483</v>
      </c>
      <c r="O56" s="1097"/>
      <c r="P56" s="1207">
        <f>+ROUND(+SUM(P51:P55),0)</f>
        <v>977592</v>
      </c>
      <c r="Q56" s="1208">
        <f>+ROUND(+SUM(Q51:Q55),0)</f>
        <v>826483</v>
      </c>
      <c r="R56" s="1046"/>
      <c r="S56" s="1695" t="s">
        <v>1078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1081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6" t="s">
        <v>1083</v>
      </c>
      <c r="T59" s="1687"/>
      <c r="U59" s="168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6" t="s">
        <v>1085</v>
      </c>
      <c r="T60" s="1687"/>
      <c r="U60" s="168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2" t="s">
        <v>1087</v>
      </c>
      <c r="T61" s="1693"/>
      <c r="U61" s="169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1091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1094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6" t="s">
        <v>1096</v>
      </c>
      <c r="T66" s="1687"/>
      <c r="U66" s="168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1098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2547</v>
      </c>
      <c r="J69" s="1102">
        <f>+IF(OR($P$2=98,$P$2=42,$P$2=96,$P$2=97),$Q69,0)</f>
        <v>2547</v>
      </c>
      <c r="K69" s="1095"/>
      <c r="L69" s="1102">
        <f>+IF($P$2=33,$Q69,0)</f>
        <v>0</v>
      </c>
      <c r="M69" s="1095"/>
      <c r="N69" s="1132">
        <f>+ROUND(+G69+J69+L69,0)</f>
        <v>2547</v>
      </c>
      <c r="O69" s="1097"/>
      <c r="P69" s="1101">
        <f>+ROUND(+SUM(OTCHET!E255:E258)+IF(+OR(OTCHET!$F$12=5500,OTCHET!$F$12=5600),+OTCHET!E297,0),0)</f>
        <v>2547</v>
      </c>
      <c r="Q69" s="1102">
        <f>+ROUND(+SUM(OTCHET!L255:L258)+IF(+OR(OTCHET!$F$12=5500,OTCHET!$F$12=5600),+OTCHET!L297,0),0)</f>
        <v>2547</v>
      </c>
      <c r="R69" s="1046"/>
      <c r="S69" s="1683" t="s">
        <v>1101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6" t="s">
        <v>1103</v>
      </c>
      <c r="T70" s="1687"/>
      <c r="U70" s="168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2547</v>
      </c>
      <c r="J71" s="1208">
        <f>+ROUND(+SUM(J69:J70),0)</f>
        <v>2547</v>
      </c>
      <c r="K71" s="1095"/>
      <c r="L71" s="1208">
        <f>+ROUND(+SUM(L69:L70),0)</f>
        <v>0</v>
      </c>
      <c r="M71" s="1095"/>
      <c r="N71" s="1209">
        <f>+ROUND(+SUM(N69:N70),0)</f>
        <v>2547</v>
      </c>
      <c r="O71" s="1097"/>
      <c r="P71" s="1207">
        <f>+ROUND(+SUM(P69:P70),0)</f>
        <v>2547</v>
      </c>
      <c r="Q71" s="1208">
        <f>+ROUND(+SUM(Q69:Q70),0)</f>
        <v>2547</v>
      </c>
      <c r="R71" s="1046"/>
      <c r="S71" s="1695" t="s">
        <v>1105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1108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6" t="s">
        <v>1110</v>
      </c>
      <c r="T74" s="1687"/>
      <c r="U74" s="168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1112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980139</v>
      </c>
      <c r="J77" s="1233">
        <f>+ROUND(J56+J63+J67+J71+J75,0)</f>
        <v>829030</v>
      </c>
      <c r="K77" s="1095"/>
      <c r="L77" s="1233">
        <f>+ROUND(L56+L63+L67+L71+L75,0)</f>
        <v>0</v>
      </c>
      <c r="M77" s="1095"/>
      <c r="N77" s="1234">
        <f>+ROUND(N56+N63+N67+N71+N75,0)</f>
        <v>829030</v>
      </c>
      <c r="O77" s="1097"/>
      <c r="P77" s="1231">
        <f>+ROUND(P56+P63+P67+P71+P75,0)</f>
        <v>980139</v>
      </c>
      <c r="Q77" s="1232">
        <f>+ROUND(Q56+Q63+Q67+Q71+Q75,0)</f>
        <v>829030</v>
      </c>
      <c r="R77" s="1046"/>
      <c r="S77" s="1710" t="s">
        <v>1114</v>
      </c>
      <c r="T77" s="1711"/>
      <c r="U77" s="171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917133</v>
      </c>
      <c r="J79" s="1108">
        <f>+IF(OR($P$2=98,$P$2=42,$P$2=96,$P$2=97),$Q79,0)</f>
        <v>914653</v>
      </c>
      <c r="K79" s="1095"/>
      <c r="L79" s="1108">
        <f>+IF($P$2=33,$Q79,0)</f>
        <v>0</v>
      </c>
      <c r="M79" s="1095"/>
      <c r="N79" s="1109">
        <f>+ROUND(+G79+J79+L79,0)</f>
        <v>914653</v>
      </c>
      <c r="O79" s="1097"/>
      <c r="P79" s="1107">
        <f>+ROUND(OTCHET!E419,0)</f>
        <v>917133</v>
      </c>
      <c r="Q79" s="1108">
        <f>+ROUND(OTCHET!L419,0)</f>
        <v>914653</v>
      </c>
      <c r="R79" s="1046"/>
      <c r="S79" s="1683" t="s">
        <v>1117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11305</v>
      </c>
      <c r="J80" s="1120">
        <f>+IF(OR($P$2=98,$P$2=42,$P$2=96,$P$2=97),$Q80,0)</f>
        <v>11305</v>
      </c>
      <c r="K80" s="1095"/>
      <c r="L80" s="1120">
        <f>+IF($P$2=33,$Q80,0)</f>
        <v>0</v>
      </c>
      <c r="M80" s="1095"/>
      <c r="N80" s="1121">
        <f>+ROUND(+G80+J80+L80,0)</f>
        <v>11305</v>
      </c>
      <c r="O80" s="1097"/>
      <c r="P80" s="1119">
        <f>+ROUND(OTCHET!E429,0)</f>
        <v>11305</v>
      </c>
      <c r="Q80" s="1120">
        <f>+ROUND(OTCHET!L429,0)</f>
        <v>11305</v>
      </c>
      <c r="R80" s="1046"/>
      <c r="S80" s="1686" t="s">
        <v>1119</v>
      </c>
      <c r="T80" s="1687"/>
      <c r="U80" s="168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928438</v>
      </c>
      <c r="J81" s="1242">
        <f>+ROUND(J79+J80,0)</f>
        <v>925958</v>
      </c>
      <c r="K81" s="1095"/>
      <c r="L81" s="1242">
        <f>+ROUND(L79+L80,0)</f>
        <v>0</v>
      </c>
      <c r="M81" s="1095"/>
      <c r="N81" s="1243">
        <f>+ROUND(N79+N80,0)</f>
        <v>925958</v>
      </c>
      <c r="O81" s="1097"/>
      <c r="P81" s="1241">
        <f>+ROUND(P79+P80,0)</f>
        <v>928438</v>
      </c>
      <c r="Q81" s="1242">
        <f>+ROUND(Q79+Q80,0)</f>
        <v>925958</v>
      </c>
      <c r="R81" s="1046"/>
      <c r="S81" s="1713" t="s">
        <v>1121</v>
      </c>
      <c r="T81" s="1714"/>
      <c r="U81" s="171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6">
        <f>+IF(+SUM(F82:N82)=0,0,"Контрола: дефицит/излишък = финансиране с обратен знак (Г. + Д. = 0)")</f>
        <v>0</v>
      </c>
      <c r="C82" s="1717"/>
      <c r="D82" s="171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-51626</v>
      </c>
      <c r="J83" s="1255">
        <f>+ROUND(J48,0)-ROUND(J77,0)+ROUND(J81,0)</f>
        <v>97003</v>
      </c>
      <c r="K83" s="1095"/>
      <c r="L83" s="1255">
        <f>+ROUND(L48,0)-ROUND(L77,0)+ROUND(L81,0)</f>
        <v>0</v>
      </c>
      <c r="M83" s="1095"/>
      <c r="N83" s="1256">
        <f>+ROUND(N48,0)-ROUND(N77,0)+ROUND(N81,0)</f>
        <v>97003</v>
      </c>
      <c r="O83" s="1257"/>
      <c r="P83" s="1254">
        <f>+ROUND(P48,0)-ROUND(P77,0)+ROUND(P81,0)</f>
        <v>-51626</v>
      </c>
      <c r="Q83" s="1255">
        <f>+ROUND(Q48,0)-ROUND(Q77,0)+ROUND(Q81,0)</f>
        <v>97003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51626</v>
      </c>
      <c r="J84" s="1263">
        <f>+ROUND(J101,0)+ROUND(J120,0)+ROUND(J127,0)-ROUND(J132,0)</f>
        <v>-97003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-97003</v>
      </c>
      <c r="O84" s="1257"/>
      <c r="P84" s="1262">
        <f>+ROUND(P101,0)+ROUND(P120,0)+ROUND(P127,0)-ROUND(P132,0)</f>
        <v>51626</v>
      </c>
      <c r="Q84" s="1263">
        <f>+ROUND(Q101,0)+ROUND(Q120,0)+ROUND(Q127,0)-ROUND(Q132,0)</f>
        <v>-97003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1127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6" t="s">
        <v>1129</v>
      </c>
      <c r="T88" s="1687"/>
      <c r="U88" s="168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1131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1134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6" t="s">
        <v>1136</v>
      </c>
      <c r="T92" s="1687"/>
      <c r="U92" s="168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6" t="s">
        <v>1138</v>
      </c>
      <c r="T93" s="1687"/>
      <c r="U93" s="168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2" t="s">
        <v>1140</v>
      </c>
      <c r="T94" s="1693"/>
      <c r="U94" s="169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1142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1145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6" t="s">
        <v>1147</v>
      </c>
      <c r="T98" s="1687"/>
      <c r="U98" s="168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1149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1151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1155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6" t="s">
        <v>1157</v>
      </c>
      <c r="T105" s="1687"/>
      <c r="U105" s="168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1159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19" t="s">
        <v>1162</v>
      </c>
      <c r="T108" s="1720"/>
      <c r="U108" s="172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2" t="s">
        <v>1164</v>
      </c>
      <c r="T109" s="1723"/>
      <c r="U109" s="172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1166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1169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6" t="s">
        <v>1171</v>
      </c>
      <c r="T113" s="1687"/>
      <c r="U113" s="168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1173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1176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6" t="s">
        <v>1178</v>
      </c>
      <c r="T117" s="1687"/>
      <c r="U117" s="168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1180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0" t="s">
        <v>1182</v>
      </c>
      <c r="T120" s="1711"/>
      <c r="U120" s="171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1185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51158</v>
      </c>
      <c r="J123" s="1120">
        <f>+IF(OR($P$2=98,$P$2=42,$P$2=96,$P$2=97),$Q123,0)</f>
        <v>-70643</v>
      </c>
      <c r="K123" s="1095"/>
      <c r="L123" s="1120">
        <f>+IF($P$2=33,$Q123,0)</f>
        <v>0</v>
      </c>
      <c r="M123" s="1095"/>
      <c r="N123" s="1121">
        <f>+ROUND(+G123+J123+L123,0)</f>
        <v>-70643</v>
      </c>
      <c r="O123" s="1097"/>
      <c r="P123" s="1119">
        <f>+ROUND(OTCHET!E524,0)</f>
        <v>51158</v>
      </c>
      <c r="Q123" s="1120">
        <f>+ROUND(OTCHET!L524,0)</f>
        <v>-70643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6" t="s">
        <v>1189</v>
      </c>
      <c r="T124" s="1687"/>
      <c r="U124" s="168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4" t="s">
        <v>1191</v>
      </c>
      <c r="T126" s="1735"/>
      <c r="U126" s="173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51158</v>
      </c>
      <c r="J127" s="1242">
        <f>+ROUND(+SUM(J122:J126),0)</f>
        <v>-70643</v>
      </c>
      <c r="K127" s="1095"/>
      <c r="L127" s="1242">
        <f>+ROUND(+SUM(L122:L126),0)</f>
        <v>0</v>
      </c>
      <c r="M127" s="1095"/>
      <c r="N127" s="1243">
        <f>+ROUND(+SUM(N122:N126),0)</f>
        <v>-70643</v>
      </c>
      <c r="O127" s="1097"/>
      <c r="P127" s="1241">
        <f>+ROUND(+SUM(P122:P126),0)</f>
        <v>51158</v>
      </c>
      <c r="Q127" s="1242">
        <f>+ROUND(+SUM(Q122:Q126),0)</f>
        <v>-70643</v>
      </c>
      <c r="R127" s="1046"/>
      <c r="S127" s="1713" t="s">
        <v>1193</v>
      </c>
      <c r="T127" s="1714"/>
      <c r="U127" s="171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468</v>
      </c>
      <c r="J129" s="1108">
        <f>+IF(OR($P$2=98,$P$2=42,$P$2=96,$P$2=97),$Q129,0)</f>
        <v>468</v>
      </c>
      <c r="K129" s="1095"/>
      <c r="L129" s="1108">
        <f>+IF($P$2=33,$Q129,0)</f>
        <v>0</v>
      </c>
      <c r="M129" s="1095"/>
      <c r="N129" s="1109">
        <f>+ROUND(+G129+J129+L129,0)</f>
        <v>468</v>
      </c>
      <c r="O129" s="1097"/>
      <c r="P129" s="1107">
        <f>+ROUND(+SUM(OTCHET!E567:E572)+SUM(OTCHET!E581:E582)+IF(AND(OTCHET!$F$12=9900,+OTCHET!$E$15=0),0,SUM(OTCHET!E587:E588)),0)</f>
        <v>468</v>
      </c>
      <c r="Q129" s="1108">
        <f>+ROUND(+SUM(OTCHET!L567:L572)+SUM(OTCHET!L581:L582)+IF(AND(OTCHET!$F$12=9900,+OTCHET!$E$15=0),0,SUM(OTCHET!L587:L588)),0)</f>
        <v>468</v>
      </c>
      <c r="R129" s="1046"/>
      <c r="S129" s="1683" t="s">
        <v>1196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6" t="s">
        <v>1198</v>
      </c>
      <c r="T130" s="1687"/>
      <c r="U130" s="168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26828</v>
      </c>
      <c r="K131" s="1095"/>
      <c r="L131" s="1120">
        <f>+IF($P$2=33,$Q131,0)</f>
        <v>0</v>
      </c>
      <c r="M131" s="1095"/>
      <c r="N131" s="1121">
        <f>+ROUND(+G131+J131+L131,0)</f>
        <v>26828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26828</v>
      </c>
      <c r="R131" s="1046"/>
      <c r="S131" s="1725" t="s">
        <v>1200</v>
      </c>
      <c r="T131" s="1726"/>
      <c r="U131" s="172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-468</v>
      </c>
      <c r="J132" s="1295">
        <f>+ROUND(+J131-J129-J130,0)</f>
        <v>26360</v>
      </c>
      <c r="K132" s="1095"/>
      <c r="L132" s="1295">
        <f>+ROUND(+L131-L129-L130,0)</f>
        <v>0</v>
      </c>
      <c r="M132" s="1095"/>
      <c r="N132" s="1296">
        <f>+ROUND(+N131-N129-N130,0)</f>
        <v>26360</v>
      </c>
      <c r="O132" s="1097"/>
      <c r="P132" s="1294">
        <f>+ROUND(+P131-P129-P130,0)</f>
        <v>-468</v>
      </c>
      <c r="Q132" s="1295">
        <f>+ROUND(+Q131-Q129-Q130,0)</f>
        <v>26360</v>
      </c>
      <c r="R132" s="1046"/>
      <c r="S132" s="1728" t="s">
        <v>1202</v>
      </c>
      <c r="T132" s="1729"/>
      <c r="U132" s="173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1">
        <f>+IF(+SUM(F133:N133)=0,0,"Контрола: дефицит/излишък = финансиране с обратен знак (Г. + Д. = 0)")</f>
        <v>0</v>
      </c>
      <c r="C133" s="1731"/>
      <c r="D133" s="173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43880</v>
      </c>
      <c r="D134" s="1247" t="s">
        <v>1204</v>
      </c>
      <c r="E134" s="1019"/>
      <c r="F134" s="1732"/>
      <c r="G134" s="1732"/>
      <c r="H134" s="1019"/>
      <c r="I134" s="1304" t="s">
        <v>1205</v>
      </c>
      <c r="J134" s="1305"/>
      <c r="K134" s="1019"/>
      <c r="L134" s="1732"/>
      <c r="M134" s="1732"/>
      <c r="N134" s="1732"/>
      <c r="O134" s="1299"/>
      <c r="P134" s="1733"/>
      <c r="Q134" s="173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Дулово</v>
      </c>
      <c r="C11" s="705"/>
      <c r="D11" s="705"/>
      <c r="E11" s="706" t="s">
        <v>970</v>
      </c>
      <c r="F11" s="707">
        <f>OTCHET!F9</f>
        <v>43830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Дулово</v>
      </c>
      <c r="C13" s="712"/>
      <c r="D13" s="712"/>
      <c r="E13" s="715" t="str">
        <f>+OTCHET!E12</f>
        <v>код по ЕБК:</v>
      </c>
      <c r="F13" s="232" t="str">
        <f>+OTCHET!F12</f>
        <v>6903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2062</v>
      </c>
      <c r="F17" s="1741" t="s">
        <v>2063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75</v>
      </c>
      <c r="F22" s="763">
        <f>+F23+F25+F36+F37</f>
        <v>75</v>
      </c>
      <c r="G22" s="764">
        <f>+G23+G25+G36+G37</f>
        <v>75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75</v>
      </c>
      <c r="F25" s="782">
        <f>+F26+F30+F31+F32+F33</f>
        <v>75</v>
      </c>
      <c r="G25" s="783">
        <f>+G26+G30+G31+G32+G33</f>
        <v>75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75</v>
      </c>
      <c r="F26" s="787">
        <f aca="true" t="shared" si="0" ref="F26:F37">+G26+H26+I26</f>
        <v>75</v>
      </c>
      <c r="G26" s="788">
        <f>OTCHET!I74</f>
        <v>75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980139</v>
      </c>
      <c r="F38" s="847">
        <f>F39+F43+F44+F46+SUM(F48:F52)+F55</f>
        <v>829030</v>
      </c>
      <c r="G38" s="848">
        <f>G39+G43+G44+G46+SUM(G48:G52)+G55</f>
        <v>829030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924142</v>
      </c>
      <c r="F39" s="810">
        <f>SUM(F40:F42)</f>
        <v>790004</v>
      </c>
      <c r="G39" s="811">
        <f>SUM(G40:G42)</f>
        <v>790004</v>
      </c>
      <c r="H39" s="812">
        <f>SUM(H40:H42)</f>
        <v>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192841</v>
      </c>
      <c r="F40" s="873">
        <f aca="true" t="shared" si="1" ref="F40:F55">+G40+H40+I40</f>
        <v>113746</v>
      </c>
      <c r="G40" s="874">
        <f>OTCHET!I187</f>
        <v>113746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572126</v>
      </c>
      <c r="F41" s="1634">
        <f t="shared" si="1"/>
        <v>545298</v>
      </c>
      <c r="G41" s="1635">
        <f>OTCHET!I190</f>
        <v>545298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159175</v>
      </c>
      <c r="F42" s="1634">
        <f t="shared" si="1"/>
        <v>130960</v>
      </c>
      <c r="G42" s="1635">
        <f>+OTCHET!I196+OTCHET!I204</f>
        <v>130960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53450</v>
      </c>
      <c r="F43" s="815">
        <f t="shared" si="1"/>
        <v>36479</v>
      </c>
      <c r="G43" s="816">
        <f>+OTCHET!I205+OTCHET!I223+OTCHET!I271</f>
        <v>36479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2547</v>
      </c>
      <c r="F46" s="866">
        <f t="shared" si="1"/>
        <v>2547</v>
      </c>
      <c r="G46" s="867">
        <f>+OTCHET!I255+OTCHET!I256+OTCHET!I257+OTCHET!I258</f>
        <v>2547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2547</v>
      </c>
      <c r="F47" s="860">
        <f t="shared" si="1"/>
        <v>2547</v>
      </c>
      <c r="G47" s="861">
        <f>+OTCHET!I256</f>
        <v>2547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928438</v>
      </c>
      <c r="F56" s="892">
        <f>+F57+F58+F62</f>
        <v>925958</v>
      </c>
      <c r="G56" s="893">
        <f>+G57+G58+G62</f>
        <v>925958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928438</v>
      </c>
      <c r="F58" s="901">
        <f t="shared" si="2"/>
        <v>925958</v>
      </c>
      <c r="G58" s="902">
        <f>+OTCHET!I383+OTCHET!I391+OTCHET!I396+OTCHET!I399+OTCHET!I402+OTCHET!I405+OTCHET!I406+OTCHET!I409+OTCHET!I422+OTCHET!I423+OTCHET!I424+OTCHET!I425+OTCHET!I426</f>
        <v>925958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11305</v>
      </c>
      <c r="F59" s="905">
        <f t="shared" si="2"/>
        <v>11305</v>
      </c>
      <c r="G59" s="906">
        <f>+OTCHET!I422+OTCHET!I423+OTCHET!I424+OTCHET!I425+OTCHET!I426</f>
        <v>11305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-51626</v>
      </c>
      <c r="F64" s="927">
        <f>+F22-F38+F56-F63</f>
        <v>97003</v>
      </c>
      <c r="G64" s="928">
        <f>+G22-G38+G56-G63</f>
        <v>97003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51626</v>
      </c>
      <c r="F66" s="937">
        <f>SUM(+F68+F76+F77+F84+F85+F86+F89+F90+F91+F92+F93+F94+F95)</f>
        <v>-97003</v>
      </c>
      <c r="G66" s="938">
        <f>SUM(+G68+G76+G77+G84+G85+G86+G89+G90+G91+G92+G93+G94+G95)</f>
        <v>-97003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51158</v>
      </c>
      <c r="F86" s="905">
        <f>+F87+F88</f>
        <v>-70643</v>
      </c>
      <c r="G86" s="906">
        <f>+G87+G88</f>
        <v>-70643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51158</v>
      </c>
      <c r="F88" s="963">
        <f t="shared" si="5"/>
        <v>-70643</v>
      </c>
      <c r="G88" s="964">
        <f>+OTCHET!I521+OTCHET!I524+OTCHET!I544</f>
        <v>-70643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468</v>
      </c>
      <c r="F90" s="901">
        <f t="shared" si="5"/>
        <v>468</v>
      </c>
      <c r="G90" s="902">
        <f>+OTCHET!I567+OTCHET!I568+OTCHET!I569+OTCHET!I570+OTCHET!I571+OTCHET!I572</f>
        <v>468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-26828</v>
      </c>
      <c r="G91" s="816">
        <f>+OTCHET!I573+OTCHET!I574+OTCHET!I575+OTCHET!I576+OTCHET!I577+OTCHET!I578+OTCHET!I579</f>
        <v>-26828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finansi_dulovo@abv.bg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 t="str">
        <f>+OTCHET!D603</f>
        <v>Анеса Ботева-Георгиева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 t="str">
        <f>+OTCHET!G600</f>
        <v>Светла Господинова</v>
      </c>
      <c r="F114" s="1744"/>
      <c r="G114" s="1002"/>
      <c r="H114" s="689"/>
      <c r="I114" s="1374" t="str">
        <f>+OTCHET!G603</f>
        <v>Д-р Юксел Ахмед 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599">
      <selection activeCell="H605" sqref="H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2" t="str">
        <f>VLOOKUP(E15,SMETKA,2,FALSE)</f>
        <v>ОТЧЕТНИ ДАННИ ПО ЕБК ЗА СМЕТКИТЕ ЗА СРЕДСТВАТА ОТ ЕВРОПЕЙСКИЯ СЪЮЗ - КСФ</v>
      </c>
      <c r="C7" s="1763"/>
      <c r="D7" s="176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4" t="s">
        <v>1897</v>
      </c>
      <c r="C9" s="1765"/>
      <c r="D9" s="1766"/>
      <c r="E9" s="115">
        <v>43466</v>
      </c>
      <c r="F9" s="116">
        <v>43830</v>
      </c>
      <c r="G9" s="113"/>
      <c r="H9" s="1415"/>
      <c r="I9" s="1832"/>
      <c r="J9" s="183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834" t="s">
        <v>969</v>
      </c>
      <c r="J10" s="183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5"/>
      <c r="J11" s="1835"/>
      <c r="K11" s="113"/>
      <c r="L11" s="113"/>
      <c r="M11" s="7">
        <v>1</v>
      </c>
      <c r="N11" s="108"/>
    </row>
    <row r="12" spans="2:14" ht="27" customHeight="1">
      <c r="B12" s="1767" t="str">
        <f>VLOOKUP(F12,PRBK,2,FALSE)</f>
        <v>Дулово</v>
      </c>
      <c r="C12" s="1768"/>
      <c r="D12" s="1769"/>
      <c r="E12" s="118" t="s">
        <v>963</v>
      </c>
      <c r="F12" s="1586" t="s">
        <v>1538</v>
      </c>
      <c r="G12" s="113"/>
      <c r="H12" s="114"/>
      <c r="I12" s="1835"/>
      <c r="J12" s="183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5" t="s">
        <v>2052</v>
      </c>
      <c r="F19" s="1746"/>
      <c r="G19" s="1746"/>
      <c r="H19" s="1747"/>
      <c r="I19" s="1751" t="s">
        <v>2053</v>
      </c>
      <c r="J19" s="1752"/>
      <c r="K19" s="1752"/>
      <c r="L19" s="175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0" t="s">
        <v>468</v>
      </c>
      <c r="D22" s="176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0" t="s">
        <v>470</v>
      </c>
      <c r="D28" s="176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0" t="s">
        <v>126</v>
      </c>
      <c r="D33" s="176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0" t="s">
        <v>121</v>
      </c>
      <c r="D39" s="176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75</v>
      </c>
      <c r="F74" s="168">
        <f t="shared" si="13"/>
        <v>75</v>
      </c>
      <c r="G74" s="169">
        <f t="shared" si="13"/>
        <v>0</v>
      </c>
      <c r="H74" s="170">
        <f>SUM(H75:H89)</f>
        <v>0</v>
      </c>
      <c r="I74" s="168">
        <f t="shared" si="13"/>
        <v>75</v>
      </c>
      <c r="J74" s="169">
        <f t="shared" si="13"/>
        <v>0</v>
      </c>
      <c r="K74" s="170">
        <f>SUM(K75:K89)</f>
        <v>0</v>
      </c>
      <c r="L74" s="1376">
        <f t="shared" si="13"/>
        <v>75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75</v>
      </c>
      <c r="F81" s="158">
        <v>75</v>
      </c>
      <c r="G81" s="159"/>
      <c r="H81" s="160">
        <v>0</v>
      </c>
      <c r="I81" s="158">
        <v>75</v>
      </c>
      <c r="J81" s="159"/>
      <c r="K81" s="160">
        <v>0</v>
      </c>
      <c r="L81" s="295">
        <f t="shared" si="14"/>
        <v>75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75</v>
      </c>
      <c r="F169" s="211">
        <f t="shared" si="39"/>
        <v>75</v>
      </c>
      <c r="G169" s="212">
        <f t="shared" si="39"/>
        <v>0</v>
      </c>
      <c r="H169" s="213">
        <f t="shared" si="39"/>
        <v>0</v>
      </c>
      <c r="I169" s="211">
        <f t="shared" si="39"/>
        <v>75</v>
      </c>
      <c r="J169" s="212">
        <f t="shared" si="39"/>
        <v>0</v>
      </c>
      <c r="K169" s="213">
        <f t="shared" si="39"/>
        <v>0</v>
      </c>
      <c r="L169" s="210">
        <f t="shared" si="39"/>
        <v>75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9" t="str">
        <f>$B$7</f>
        <v>ОТЧЕТНИ ДАННИ ПО ЕБК ЗА СМЕТКИТЕ ЗА СРЕДСТВАТА ОТ ЕВРОПЕЙСКИЯ СЪЮЗ - КСФ</v>
      </c>
      <c r="C174" s="1780"/>
      <c r="D174" s="178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6" t="str">
        <f>$B$9</f>
        <v>Дулово</v>
      </c>
      <c r="C176" s="1777"/>
      <c r="D176" s="1778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7" t="str">
        <f>$B$12</f>
        <v>Дулово</v>
      </c>
      <c r="C179" s="1768"/>
      <c r="D179" s="1769"/>
      <c r="E179" s="231" t="s">
        <v>890</v>
      </c>
      <c r="F179" s="232" t="str">
        <f>$F$12</f>
        <v>6903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5" t="s">
        <v>2054</v>
      </c>
      <c r="F183" s="1746"/>
      <c r="G183" s="1746"/>
      <c r="H183" s="1747"/>
      <c r="I183" s="1754" t="s">
        <v>2055</v>
      </c>
      <c r="J183" s="1755"/>
      <c r="K183" s="1755"/>
      <c r="L183" s="175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744</v>
      </c>
      <c r="D187" s="1775"/>
      <c r="E187" s="273">
        <f aca="true" t="shared" si="41" ref="E187:L187">SUMIF($B$607:$B$12313,$B187,E$607:E$12313)</f>
        <v>192841</v>
      </c>
      <c r="F187" s="274">
        <f t="shared" si="41"/>
        <v>192841</v>
      </c>
      <c r="G187" s="275">
        <f t="shared" si="41"/>
        <v>0</v>
      </c>
      <c r="H187" s="276">
        <f t="shared" si="41"/>
        <v>0</v>
      </c>
      <c r="I187" s="274">
        <f t="shared" si="41"/>
        <v>113746</v>
      </c>
      <c r="J187" s="275">
        <f t="shared" si="41"/>
        <v>0</v>
      </c>
      <c r="K187" s="276">
        <f t="shared" si="41"/>
        <v>0</v>
      </c>
      <c r="L187" s="273">
        <f t="shared" si="41"/>
        <v>113746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192841</v>
      </c>
      <c r="F188" s="282">
        <f t="shared" si="43"/>
        <v>192841</v>
      </c>
      <c r="G188" s="283">
        <f t="shared" si="43"/>
        <v>0</v>
      </c>
      <c r="H188" s="284">
        <f t="shared" si="43"/>
        <v>0</v>
      </c>
      <c r="I188" s="282">
        <f t="shared" si="43"/>
        <v>113746</v>
      </c>
      <c r="J188" s="283">
        <f t="shared" si="43"/>
        <v>0</v>
      </c>
      <c r="K188" s="284">
        <f t="shared" si="43"/>
        <v>0</v>
      </c>
      <c r="L188" s="281">
        <f t="shared" si="43"/>
        <v>113746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0" t="s">
        <v>747</v>
      </c>
      <c r="D190" s="1771"/>
      <c r="E190" s="273">
        <f aca="true" t="shared" si="44" ref="E190:L190">SUMIF($B$607:$B$12313,$B190,E$607:E$12313)</f>
        <v>572126</v>
      </c>
      <c r="F190" s="274">
        <f t="shared" si="44"/>
        <v>572126</v>
      </c>
      <c r="G190" s="275">
        <f t="shared" si="44"/>
        <v>0</v>
      </c>
      <c r="H190" s="276">
        <f t="shared" si="44"/>
        <v>0</v>
      </c>
      <c r="I190" s="274">
        <f t="shared" si="44"/>
        <v>545298</v>
      </c>
      <c r="J190" s="275">
        <f t="shared" si="44"/>
        <v>0</v>
      </c>
      <c r="K190" s="276">
        <f t="shared" si="44"/>
        <v>0</v>
      </c>
      <c r="L190" s="273">
        <f t="shared" si="44"/>
        <v>545298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571506</v>
      </c>
      <c r="F191" s="282">
        <f t="shared" si="45"/>
        <v>571506</v>
      </c>
      <c r="G191" s="283">
        <f t="shared" si="45"/>
        <v>0</v>
      </c>
      <c r="H191" s="284">
        <f t="shared" si="45"/>
        <v>0</v>
      </c>
      <c r="I191" s="282">
        <f t="shared" si="45"/>
        <v>544678</v>
      </c>
      <c r="J191" s="283">
        <f t="shared" si="45"/>
        <v>0</v>
      </c>
      <c r="K191" s="284">
        <f t="shared" si="45"/>
        <v>0</v>
      </c>
      <c r="L191" s="281">
        <f t="shared" si="45"/>
        <v>544678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620</v>
      </c>
      <c r="F192" s="296">
        <f t="shared" si="45"/>
        <v>620</v>
      </c>
      <c r="G192" s="297">
        <f t="shared" si="45"/>
        <v>0</v>
      </c>
      <c r="H192" s="298">
        <f t="shared" si="45"/>
        <v>0</v>
      </c>
      <c r="I192" s="296">
        <f t="shared" si="45"/>
        <v>620</v>
      </c>
      <c r="J192" s="297">
        <f t="shared" si="45"/>
        <v>0</v>
      </c>
      <c r="K192" s="298">
        <f t="shared" si="45"/>
        <v>0</v>
      </c>
      <c r="L192" s="295">
        <f t="shared" si="45"/>
        <v>620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194</v>
      </c>
      <c r="D196" s="1773"/>
      <c r="E196" s="273">
        <f aca="true" t="shared" si="46" ref="E196:L196">SUMIF($B$607:$B$12313,$B196,E$607:E$12313)</f>
        <v>159175</v>
      </c>
      <c r="F196" s="274">
        <f t="shared" si="46"/>
        <v>159175</v>
      </c>
      <c r="G196" s="275">
        <f t="shared" si="46"/>
        <v>0</v>
      </c>
      <c r="H196" s="276">
        <f t="shared" si="46"/>
        <v>0</v>
      </c>
      <c r="I196" s="274">
        <f t="shared" si="46"/>
        <v>130960</v>
      </c>
      <c r="J196" s="275">
        <f t="shared" si="46"/>
        <v>0</v>
      </c>
      <c r="K196" s="276">
        <f t="shared" si="46"/>
        <v>0</v>
      </c>
      <c r="L196" s="273">
        <f t="shared" si="46"/>
        <v>130960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93397</v>
      </c>
      <c r="F197" s="282">
        <f t="shared" si="47"/>
        <v>93397</v>
      </c>
      <c r="G197" s="283">
        <f t="shared" si="47"/>
        <v>0</v>
      </c>
      <c r="H197" s="284">
        <f t="shared" si="47"/>
        <v>0</v>
      </c>
      <c r="I197" s="282">
        <f t="shared" si="47"/>
        <v>80372</v>
      </c>
      <c r="J197" s="283">
        <f t="shared" si="47"/>
        <v>0</v>
      </c>
      <c r="K197" s="284">
        <f t="shared" si="47"/>
        <v>0</v>
      </c>
      <c r="L197" s="281">
        <f t="shared" si="47"/>
        <v>80372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8324</v>
      </c>
      <c r="F198" s="296">
        <f t="shared" si="47"/>
        <v>8324</v>
      </c>
      <c r="G198" s="297">
        <f t="shared" si="47"/>
        <v>0</v>
      </c>
      <c r="H198" s="298">
        <f t="shared" si="47"/>
        <v>0</v>
      </c>
      <c r="I198" s="296">
        <f t="shared" si="47"/>
        <v>3912</v>
      </c>
      <c r="J198" s="297">
        <f t="shared" si="47"/>
        <v>0</v>
      </c>
      <c r="K198" s="298">
        <f t="shared" si="47"/>
        <v>0</v>
      </c>
      <c r="L198" s="295">
        <f t="shared" si="47"/>
        <v>3912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38796</v>
      </c>
      <c r="F200" s="296">
        <f t="shared" si="47"/>
        <v>38796</v>
      </c>
      <c r="G200" s="297">
        <f t="shared" si="47"/>
        <v>0</v>
      </c>
      <c r="H200" s="298">
        <f t="shared" si="47"/>
        <v>0</v>
      </c>
      <c r="I200" s="296">
        <f t="shared" si="47"/>
        <v>32110</v>
      </c>
      <c r="J200" s="297">
        <f t="shared" si="47"/>
        <v>0</v>
      </c>
      <c r="K200" s="298">
        <f t="shared" si="47"/>
        <v>0</v>
      </c>
      <c r="L200" s="295">
        <f t="shared" si="47"/>
        <v>32110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18658</v>
      </c>
      <c r="F201" s="296">
        <f t="shared" si="47"/>
        <v>18658</v>
      </c>
      <c r="G201" s="297">
        <f t="shared" si="47"/>
        <v>0</v>
      </c>
      <c r="H201" s="298">
        <f t="shared" si="47"/>
        <v>0</v>
      </c>
      <c r="I201" s="296">
        <f t="shared" si="47"/>
        <v>14566</v>
      </c>
      <c r="J201" s="297">
        <f t="shared" si="47"/>
        <v>0</v>
      </c>
      <c r="K201" s="298">
        <f t="shared" si="47"/>
        <v>0</v>
      </c>
      <c r="L201" s="295">
        <f t="shared" si="47"/>
        <v>14566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3" t="s">
        <v>199</v>
      </c>
      <c r="D204" s="178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0" t="s">
        <v>200</v>
      </c>
      <c r="D205" s="1771"/>
      <c r="E205" s="310">
        <f t="shared" si="48"/>
        <v>53450</v>
      </c>
      <c r="F205" s="274">
        <f t="shared" si="48"/>
        <v>53450</v>
      </c>
      <c r="G205" s="275">
        <f t="shared" si="48"/>
        <v>0</v>
      </c>
      <c r="H205" s="276">
        <f t="shared" si="48"/>
        <v>0</v>
      </c>
      <c r="I205" s="274">
        <f t="shared" si="48"/>
        <v>36479</v>
      </c>
      <c r="J205" s="275">
        <f t="shared" si="48"/>
        <v>0</v>
      </c>
      <c r="K205" s="276">
        <f t="shared" si="48"/>
        <v>0</v>
      </c>
      <c r="L205" s="310">
        <f t="shared" si="48"/>
        <v>36479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36849</v>
      </c>
      <c r="F210" s="296">
        <f t="shared" si="49"/>
        <v>36849</v>
      </c>
      <c r="G210" s="297">
        <f t="shared" si="49"/>
        <v>0</v>
      </c>
      <c r="H210" s="298">
        <f t="shared" si="49"/>
        <v>0</v>
      </c>
      <c r="I210" s="296">
        <f t="shared" si="49"/>
        <v>24430</v>
      </c>
      <c r="J210" s="297">
        <f t="shared" si="49"/>
        <v>0</v>
      </c>
      <c r="K210" s="298">
        <f t="shared" si="49"/>
        <v>0</v>
      </c>
      <c r="L210" s="295">
        <f t="shared" si="49"/>
        <v>24430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16401</v>
      </c>
      <c r="F212" s="321">
        <f t="shared" si="49"/>
        <v>16401</v>
      </c>
      <c r="G212" s="322">
        <f t="shared" si="49"/>
        <v>0</v>
      </c>
      <c r="H212" s="323">
        <f t="shared" si="49"/>
        <v>0</v>
      </c>
      <c r="I212" s="321">
        <f t="shared" si="49"/>
        <v>11990</v>
      </c>
      <c r="J212" s="322">
        <f t="shared" si="49"/>
        <v>0</v>
      </c>
      <c r="K212" s="323">
        <f t="shared" si="49"/>
        <v>0</v>
      </c>
      <c r="L212" s="320">
        <f t="shared" si="49"/>
        <v>11990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200</v>
      </c>
      <c r="F214" s="321">
        <f t="shared" si="49"/>
        <v>200</v>
      </c>
      <c r="G214" s="322">
        <f t="shared" si="49"/>
        <v>0</v>
      </c>
      <c r="H214" s="323">
        <f t="shared" si="49"/>
        <v>0</v>
      </c>
      <c r="I214" s="321">
        <f t="shared" si="49"/>
        <v>59</v>
      </c>
      <c r="J214" s="322">
        <f t="shared" si="49"/>
        <v>0</v>
      </c>
      <c r="K214" s="323">
        <f t="shared" si="49"/>
        <v>0</v>
      </c>
      <c r="L214" s="320">
        <f t="shared" si="49"/>
        <v>59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1" t="s">
        <v>272</v>
      </c>
      <c r="D223" s="178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1" t="s">
        <v>722</v>
      </c>
      <c r="D227" s="178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1" t="s">
        <v>219</v>
      </c>
      <c r="D233" s="178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1" t="s">
        <v>221</v>
      </c>
      <c r="D236" s="178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7" t="s">
        <v>222</v>
      </c>
      <c r="D237" s="178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7" t="s">
        <v>223</v>
      </c>
      <c r="D238" s="178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7" t="s">
        <v>1658</v>
      </c>
      <c r="D239" s="178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1" t="s">
        <v>224</v>
      </c>
      <c r="D240" s="178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1" t="s">
        <v>234</v>
      </c>
      <c r="D255" s="178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1" t="s">
        <v>235</v>
      </c>
      <c r="D256" s="1782"/>
      <c r="E256" s="310">
        <f t="shared" si="62"/>
        <v>2547</v>
      </c>
      <c r="F256" s="274">
        <f t="shared" si="62"/>
        <v>2547</v>
      </c>
      <c r="G256" s="275">
        <f t="shared" si="62"/>
        <v>0</v>
      </c>
      <c r="H256" s="276">
        <f t="shared" si="62"/>
        <v>0</v>
      </c>
      <c r="I256" s="274">
        <f t="shared" si="62"/>
        <v>2547</v>
      </c>
      <c r="J256" s="275">
        <f t="shared" si="62"/>
        <v>0</v>
      </c>
      <c r="K256" s="276">
        <f t="shared" si="62"/>
        <v>0</v>
      </c>
      <c r="L256" s="310">
        <f t="shared" si="62"/>
        <v>2547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81" t="s">
        <v>236</v>
      </c>
      <c r="D257" s="178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1" t="s">
        <v>237</v>
      </c>
      <c r="D258" s="178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1" t="s">
        <v>1663</v>
      </c>
      <c r="D265" s="178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1" t="s">
        <v>1660</v>
      </c>
      <c r="D269" s="178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1" t="s">
        <v>1661</v>
      </c>
      <c r="D270" s="178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7" t="s">
        <v>247</v>
      </c>
      <c r="D271" s="178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1" t="s">
        <v>273</v>
      </c>
      <c r="D272" s="178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5" t="s">
        <v>248</v>
      </c>
      <c r="D275" s="178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5" t="s">
        <v>249</v>
      </c>
      <c r="D276" s="178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5" t="s">
        <v>625</v>
      </c>
      <c r="D284" s="178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5" t="s">
        <v>685</v>
      </c>
      <c r="D287" s="178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1" t="s">
        <v>686</v>
      </c>
      <c r="D288" s="178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915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1" t="s">
        <v>694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980139</v>
      </c>
      <c r="F301" s="396">
        <f t="shared" si="77"/>
        <v>980139</v>
      </c>
      <c r="G301" s="397">
        <f t="shared" si="77"/>
        <v>0</v>
      </c>
      <c r="H301" s="398">
        <f t="shared" si="77"/>
        <v>0</v>
      </c>
      <c r="I301" s="396">
        <f t="shared" si="77"/>
        <v>829030</v>
      </c>
      <c r="J301" s="397">
        <f t="shared" si="77"/>
        <v>0</v>
      </c>
      <c r="K301" s="398">
        <f t="shared" si="77"/>
        <v>0</v>
      </c>
      <c r="L301" s="395">
        <f t="shared" si="77"/>
        <v>829030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КСФ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6" t="str">
        <f>$B$9</f>
        <v>Дулово</v>
      </c>
      <c r="C350" s="1777"/>
      <c r="D350" s="1778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7" t="str">
        <f>$B$12</f>
        <v>Дулово</v>
      </c>
      <c r="C353" s="1768"/>
      <c r="D353" s="1769"/>
      <c r="E353" s="410" t="s">
        <v>890</v>
      </c>
      <c r="F353" s="232" t="str">
        <f>$F$12</f>
        <v>6903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757" t="s">
        <v>2056</v>
      </c>
      <c r="F357" s="1758"/>
      <c r="G357" s="1758"/>
      <c r="H357" s="175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7" t="s">
        <v>287</v>
      </c>
      <c r="D375" s="179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7" t="s">
        <v>309</v>
      </c>
      <c r="D383" s="179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7" t="s">
        <v>253</v>
      </c>
      <c r="D388" s="179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7" t="s">
        <v>254</v>
      </c>
      <c r="D391" s="179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7" t="s">
        <v>256</v>
      </c>
      <c r="D396" s="1798"/>
      <c r="E396" s="1378">
        <f aca="true" t="shared" si="88" ref="E396:L396">SUM(E397:E398)</f>
        <v>1936</v>
      </c>
      <c r="F396" s="459">
        <f t="shared" si="88"/>
        <v>1936</v>
      </c>
      <c r="G396" s="473">
        <f t="shared" si="88"/>
        <v>0</v>
      </c>
      <c r="H396" s="445">
        <f>SUM(H397:H398)</f>
        <v>0</v>
      </c>
      <c r="I396" s="459">
        <f t="shared" si="88"/>
        <v>-544</v>
      </c>
      <c r="J396" s="444">
        <f t="shared" si="88"/>
        <v>0</v>
      </c>
      <c r="K396" s="445">
        <f>SUM(K397:K398)</f>
        <v>0</v>
      </c>
      <c r="L396" s="1378">
        <f t="shared" si="88"/>
        <v>-544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1936</v>
      </c>
      <c r="F397" s="152">
        <v>1936</v>
      </c>
      <c r="G397" s="153"/>
      <c r="H397" s="154">
        <v>0</v>
      </c>
      <c r="I397" s="152">
        <v>1936</v>
      </c>
      <c r="J397" s="153"/>
      <c r="K397" s="154">
        <v>0</v>
      </c>
      <c r="L397" s="1379">
        <f>I397+J397+K397</f>
        <v>1936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>
        <v>-2480</v>
      </c>
      <c r="J398" s="174"/>
      <c r="K398" s="175">
        <v>0</v>
      </c>
      <c r="L398" s="1383">
        <f>I398+J398+K398</f>
        <v>-2480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97" t="s">
        <v>257</v>
      </c>
      <c r="D399" s="1798"/>
      <c r="E399" s="1378">
        <f aca="true" t="shared" si="89" ref="E399:L399">SUM(E400:E401)</f>
        <v>915197</v>
      </c>
      <c r="F399" s="459">
        <f t="shared" si="89"/>
        <v>915197</v>
      </c>
      <c r="G399" s="473">
        <f t="shared" si="89"/>
        <v>0</v>
      </c>
      <c r="H399" s="445">
        <f>SUM(H400:H401)</f>
        <v>0</v>
      </c>
      <c r="I399" s="459">
        <f t="shared" si="89"/>
        <v>915197</v>
      </c>
      <c r="J399" s="444">
        <f t="shared" si="89"/>
        <v>0</v>
      </c>
      <c r="K399" s="445">
        <f>SUM(K400:K401)</f>
        <v>0</v>
      </c>
      <c r="L399" s="1378">
        <f t="shared" si="89"/>
        <v>915197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915197</v>
      </c>
      <c r="F400" s="158">
        <v>915197</v>
      </c>
      <c r="G400" s="159"/>
      <c r="H400" s="154">
        <v>0</v>
      </c>
      <c r="I400" s="158">
        <v>915197</v>
      </c>
      <c r="J400" s="159"/>
      <c r="K400" s="154">
        <v>0</v>
      </c>
      <c r="L400" s="1379">
        <f>I400+J400+K400</f>
        <v>915197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7" t="s">
        <v>922</v>
      </c>
      <c r="D402" s="179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7" t="s">
        <v>680</v>
      </c>
      <c r="D405" s="179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7" t="s">
        <v>681</v>
      </c>
      <c r="D406" s="179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7" t="s">
        <v>699</v>
      </c>
      <c r="D409" s="179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7" t="s">
        <v>260</v>
      </c>
      <c r="D412" s="179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917133</v>
      </c>
      <c r="F419" s="495">
        <f t="shared" si="95"/>
        <v>917133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914653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914653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7" t="s">
        <v>767</v>
      </c>
      <c r="D422" s="179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7" t="s">
        <v>704</v>
      </c>
      <c r="D423" s="179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7" t="s">
        <v>261</v>
      </c>
      <c r="D424" s="1798"/>
      <c r="E424" s="1378">
        <f>F424+G424+H424</f>
        <v>11305</v>
      </c>
      <c r="F424" s="483">
        <v>11305</v>
      </c>
      <c r="G424" s="484"/>
      <c r="H424" s="1475">
        <v>0</v>
      </c>
      <c r="I424" s="483">
        <v>11305</v>
      </c>
      <c r="J424" s="484"/>
      <c r="K424" s="1475">
        <v>0</v>
      </c>
      <c r="L424" s="1378">
        <f>I424+J424+K424</f>
        <v>11305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7" t="s">
        <v>683</v>
      </c>
      <c r="D425" s="179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7" t="s">
        <v>926</v>
      </c>
      <c r="D426" s="179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11305</v>
      </c>
      <c r="F429" s="513">
        <f t="shared" si="97"/>
        <v>11305</v>
      </c>
      <c r="G429" s="514">
        <f t="shared" si="97"/>
        <v>0</v>
      </c>
      <c r="H429" s="515">
        <f>SUM(H422,H423,H424,H425,H426)</f>
        <v>0</v>
      </c>
      <c r="I429" s="513">
        <f t="shared" si="97"/>
        <v>11305</v>
      </c>
      <c r="J429" s="514">
        <f t="shared" si="97"/>
        <v>0</v>
      </c>
      <c r="K429" s="515">
        <f t="shared" si="97"/>
        <v>0</v>
      </c>
      <c r="L429" s="512">
        <f t="shared" si="97"/>
        <v>11305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4" t="str">
        <f>$B$7</f>
        <v>ОТЧЕТНИ ДАННИ ПО ЕБК ЗА СМЕТКИТЕ ЗА СРЕДСТВАТА ОТ ЕВРОПЕЙСКИЯ СЪЮЗ - КСФ</v>
      </c>
      <c r="C433" s="1805"/>
      <c r="D433" s="180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6" t="str">
        <f>$B$9</f>
        <v>Дулово</v>
      </c>
      <c r="C435" s="1777"/>
      <c r="D435" s="1778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7" t="str">
        <f>$B$12</f>
        <v>Дулово</v>
      </c>
      <c r="C438" s="1768"/>
      <c r="D438" s="1769"/>
      <c r="E438" s="410" t="s">
        <v>890</v>
      </c>
      <c r="F438" s="232" t="str">
        <f>$F$12</f>
        <v>6903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5" t="s">
        <v>2058</v>
      </c>
      <c r="F442" s="1746"/>
      <c r="G442" s="1746"/>
      <c r="H442" s="1747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-51626</v>
      </c>
      <c r="F445" s="546">
        <f t="shared" si="99"/>
        <v>-51626</v>
      </c>
      <c r="G445" s="547">
        <f t="shared" si="99"/>
        <v>0</v>
      </c>
      <c r="H445" s="548">
        <f t="shared" si="99"/>
        <v>0</v>
      </c>
      <c r="I445" s="546">
        <f t="shared" si="99"/>
        <v>97003</v>
      </c>
      <c r="J445" s="547">
        <f t="shared" si="99"/>
        <v>0</v>
      </c>
      <c r="K445" s="548">
        <f t="shared" si="99"/>
        <v>0</v>
      </c>
      <c r="L445" s="549">
        <f t="shared" si="99"/>
        <v>97003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51626</v>
      </c>
      <c r="F446" s="553">
        <f t="shared" si="100"/>
        <v>51626</v>
      </c>
      <c r="G446" s="554">
        <f t="shared" si="100"/>
        <v>0</v>
      </c>
      <c r="H446" s="555">
        <f t="shared" si="100"/>
        <v>0</v>
      </c>
      <c r="I446" s="553">
        <f t="shared" si="100"/>
        <v>-97003</v>
      </c>
      <c r="J446" s="554">
        <f t="shared" si="100"/>
        <v>0</v>
      </c>
      <c r="K446" s="555">
        <f t="shared" si="100"/>
        <v>0</v>
      </c>
      <c r="L446" s="556">
        <f>+L597</f>
        <v>-97003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6" t="str">
        <f>$B$7</f>
        <v>ОТЧЕТНИ ДАННИ ПО ЕБК ЗА СМЕТКИТЕ ЗА СРЕДСТВАТА ОТ ЕВРОПЕЙСКИЯ СЪЮЗ - КСФ</v>
      </c>
      <c r="C449" s="1807"/>
      <c r="D449" s="180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6" t="str">
        <f>$B$9</f>
        <v>Дулово</v>
      </c>
      <c r="C451" s="1777"/>
      <c r="D451" s="1778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7" t="str">
        <f>$B$12</f>
        <v>Дулово</v>
      </c>
      <c r="C454" s="1768"/>
      <c r="D454" s="1769"/>
      <c r="E454" s="410" t="s">
        <v>890</v>
      </c>
      <c r="F454" s="232" t="str">
        <f>$F$12</f>
        <v>6903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748" t="s">
        <v>2060</v>
      </c>
      <c r="F458" s="1749"/>
      <c r="G458" s="1749"/>
      <c r="H458" s="1750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2" t="s">
        <v>768</v>
      </c>
      <c r="D461" s="180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1" t="s">
        <v>771</v>
      </c>
      <c r="D465" s="182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1" t="s">
        <v>1998</v>
      </c>
      <c r="D468" s="182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2" t="s">
        <v>774</v>
      </c>
      <c r="D471" s="180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2" t="s">
        <v>781</v>
      </c>
      <c r="D478" s="182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0" t="s">
        <v>930</v>
      </c>
      <c r="D481" s="181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3" t="s">
        <v>935</v>
      </c>
      <c r="D497" s="181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3" t="s">
        <v>24</v>
      </c>
      <c r="D502" s="181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5" t="s">
        <v>936</v>
      </c>
      <c r="D503" s="181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0" t="s">
        <v>33</v>
      </c>
      <c r="D512" s="181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0" t="s">
        <v>37</v>
      </c>
      <c r="D516" s="181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0" t="s">
        <v>937</v>
      </c>
      <c r="D521" s="181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3" t="s">
        <v>938</v>
      </c>
      <c r="D524" s="1809"/>
      <c r="E524" s="578">
        <f aca="true" t="shared" si="120" ref="E524:L524">SUM(E525:E530)</f>
        <v>51158</v>
      </c>
      <c r="F524" s="587">
        <f t="shared" si="120"/>
        <v>51158</v>
      </c>
      <c r="G524" s="580">
        <f t="shared" si="120"/>
        <v>0</v>
      </c>
      <c r="H524" s="581">
        <f>SUM(H525:H530)</f>
        <v>0</v>
      </c>
      <c r="I524" s="587">
        <f t="shared" si="120"/>
        <v>-70643</v>
      </c>
      <c r="J524" s="580">
        <f t="shared" si="120"/>
        <v>0</v>
      </c>
      <c r="K524" s="581">
        <f t="shared" si="120"/>
        <v>0</v>
      </c>
      <c r="L524" s="578">
        <f t="shared" si="120"/>
        <v>-70643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51158</v>
      </c>
      <c r="F527" s="158">
        <v>51158</v>
      </c>
      <c r="G527" s="159"/>
      <c r="H527" s="585">
        <v>0</v>
      </c>
      <c r="I527" s="158">
        <v>-70643</v>
      </c>
      <c r="J527" s="159"/>
      <c r="K527" s="585">
        <v>0</v>
      </c>
      <c r="L527" s="1387">
        <f t="shared" si="116"/>
        <v>-70643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1" t="s">
        <v>313</v>
      </c>
      <c r="D531" s="181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0" t="s">
        <v>940</v>
      </c>
      <c r="D535" s="181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6" t="s">
        <v>941</v>
      </c>
      <c r="D536" s="181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08" t="s">
        <v>942</v>
      </c>
      <c r="D541" s="180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0" t="s">
        <v>943</v>
      </c>
      <c r="D544" s="181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08" t="s">
        <v>952</v>
      </c>
      <c r="D566" s="1808"/>
      <c r="E566" s="578">
        <f aca="true" t="shared" si="128" ref="E566:L566">SUM(E567:E585)</f>
        <v>468</v>
      </c>
      <c r="F566" s="587">
        <f t="shared" si="128"/>
        <v>468</v>
      </c>
      <c r="G566" s="580">
        <f t="shared" si="128"/>
        <v>0</v>
      </c>
      <c r="H566" s="581">
        <f>SUM(H567:H585)</f>
        <v>0</v>
      </c>
      <c r="I566" s="587">
        <f t="shared" si="128"/>
        <v>-26360</v>
      </c>
      <c r="J566" s="580">
        <f t="shared" si="128"/>
        <v>0</v>
      </c>
      <c r="K566" s="581">
        <f t="shared" si="128"/>
        <v>0</v>
      </c>
      <c r="L566" s="578">
        <f t="shared" si="128"/>
        <v>-26360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468</v>
      </c>
      <c r="F567" s="152">
        <v>468</v>
      </c>
      <c r="G567" s="153"/>
      <c r="H567" s="584">
        <v>0</v>
      </c>
      <c r="I567" s="152">
        <v>468</v>
      </c>
      <c r="J567" s="153"/>
      <c r="K567" s="584">
        <v>0</v>
      </c>
      <c r="L567" s="1379">
        <f t="shared" si="116"/>
        <v>468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>
        <v>-26828</v>
      </c>
      <c r="J573" s="153"/>
      <c r="K573" s="1623">
        <v>0</v>
      </c>
      <c r="L573" s="1393">
        <f t="shared" si="129"/>
        <v>-26828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08" t="s">
        <v>957</v>
      </c>
      <c r="D586" s="180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08" t="s">
        <v>833</v>
      </c>
      <c r="D591" s="180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51626</v>
      </c>
      <c r="F597" s="663">
        <f t="shared" si="133"/>
        <v>51626</v>
      </c>
      <c r="G597" s="664">
        <f t="shared" si="133"/>
        <v>0</v>
      </c>
      <c r="H597" s="665">
        <f t="shared" si="133"/>
        <v>0</v>
      </c>
      <c r="I597" s="663">
        <f t="shared" si="133"/>
        <v>-97003</v>
      </c>
      <c r="J597" s="664">
        <f t="shared" si="133"/>
        <v>0</v>
      </c>
      <c r="K597" s="666">
        <f t="shared" si="133"/>
        <v>0</v>
      </c>
      <c r="L597" s="662">
        <f t="shared" si="133"/>
        <v>-97003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36" t="s">
        <v>2075</v>
      </c>
      <c r="H600" s="1837"/>
      <c r="I600" s="1837"/>
      <c r="J600" s="183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6" t="s">
        <v>877</v>
      </c>
      <c r="H601" s="1826"/>
      <c r="I601" s="1826"/>
      <c r="J601" s="182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818" t="s">
        <v>2076</v>
      </c>
      <c r="H603" s="1819"/>
      <c r="I603" s="1819"/>
      <c r="J603" s="1820"/>
      <c r="K603" s="103"/>
      <c r="L603" s="228"/>
      <c r="M603" s="7">
        <v>1</v>
      </c>
      <c r="N603" s="518"/>
    </row>
    <row r="604" spans="1:14" ht="21.75" customHeight="1">
      <c r="A604" s="23"/>
      <c r="B604" s="1824" t="s">
        <v>880</v>
      </c>
      <c r="C604" s="1825"/>
      <c r="D604" s="672" t="s">
        <v>881</v>
      </c>
      <c r="E604" s="673"/>
      <c r="F604" s="674"/>
      <c r="G604" s="1826" t="s">
        <v>877</v>
      </c>
      <c r="H604" s="1826"/>
      <c r="I604" s="1826"/>
      <c r="J604" s="1826"/>
      <c r="K604" s="103"/>
      <c r="L604" s="228"/>
      <c r="M604" s="7">
        <v>1</v>
      </c>
      <c r="N604" s="518"/>
    </row>
    <row r="605" spans="1:14" ht="24.75" customHeight="1">
      <c r="A605" s="36"/>
      <c r="B605" s="1827">
        <v>43880</v>
      </c>
      <c r="C605" s="1828"/>
      <c r="D605" s="675" t="s">
        <v>882</v>
      </c>
      <c r="E605" s="676"/>
      <c r="F605" s="677"/>
      <c r="G605" s="678" t="s">
        <v>883</v>
      </c>
      <c r="H605" s="1829" t="s">
        <v>2077</v>
      </c>
      <c r="I605" s="1830"/>
      <c r="J605" s="183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29"/>
      <c r="I607" s="1830"/>
      <c r="J607" s="183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6" t="str">
        <f>$B$7</f>
        <v>ОТЧЕТНИ ДАННИ ПО ЕБК ЗА СМЕТКИТЕ ЗА СРЕДСТВАТА ОТ ЕВРОПЕЙСКИЯ СЪЮЗ - КСФ</v>
      </c>
      <c r="C621" s="1807"/>
      <c r="D621" s="180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76" t="str">
        <f>$B$9</f>
        <v>Дулово</v>
      </c>
      <c r="C623" s="1777"/>
      <c r="D623" s="1778"/>
      <c r="E623" s="115">
        <f>$E$9</f>
        <v>43466</v>
      </c>
      <c r="F623" s="226">
        <f>$F$9</f>
        <v>43830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39" t="str">
        <f>$B$12</f>
        <v>Дулово</v>
      </c>
      <c r="C626" s="1840"/>
      <c r="D626" s="1841"/>
      <c r="E626" s="410" t="s">
        <v>890</v>
      </c>
      <c r="F626" s="1360" t="str">
        <f>$F$12</f>
        <v>6903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45" t="s">
        <v>2049</v>
      </c>
      <c r="F630" s="1746"/>
      <c r="G630" s="1746"/>
      <c r="H630" s="1747"/>
      <c r="I630" s="1754" t="s">
        <v>2050</v>
      </c>
      <c r="J630" s="1755"/>
      <c r="K630" s="1755"/>
      <c r="L630" s="1756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4" t="str">
        <f>VLOOKUP(D633,OP_LIST2,2,FALSE)</f>
        <v>98213</v>
      </c>
      <c r="D633" s="1452" t="s">
        <v>1225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3311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3311</v>
      </c>
      <c r="D635" s="1452" t="s">
        <v>2010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4" t="s">
        <v>744</v>
      </c>
      <c r="D637" s="1775"/>
      <c r="E637" s="273">
        <f aca="true" t="shared" si="134" ref="E637:L637">SUM(E638:E639)</f>
        <v>32000</v>
      </c>
      <c r="F637" s="274">
        <f t="shared" si="134"/>
        <v>32000</v>
      </c>
      <c r="G637" s="275">
        <f t="shared" si="134"/>
        <v>0</v>
      </c>
      <c r="H637" s="276">
        <f t="shared" si="134"/>
        <v>0</v>
      </c>
      <c r="I637" s="274">
        <f t="shared" si="134"/>
        <v>4950</v>
      </c>
      <c r="J637" s="275">
        <f t="shared" si="134"/>
        <v>0</v>
      </c>
      <c r="K637" s="276">
        <f t="shared" si="134"/>
        <v>0</v>
      </c>
      <c r="L637" s="273">
        <f t="shared" si="134"/>
        <v>4950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32000</v>
      </c>
      <c r="F638" s="152">
        <v>32000</v>
      </c>
      <c r="G638" s="153"/>
      <c r="H638" s="1418"/>
      <c r="I638" s="152">
        <v>4950</v>
      </c>
      <c r="J638" s="153"/>
      <c r="K638" s="1418"/>
      <c r="L638" s="281">
        <f>I638+J638+K638</f>
        <v>4950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0" t="s">
        <v>747</v>
      </c>
      <c r="D640" s="177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194</v>
      </c>
      <c r="D646" s="1773"/>
      <c r="E646" s="273">
        <f aca="true" t="shared" si="137" ref="E646:L646">SUM(E647:E653)</f>
        <v>6715</v>
      </c>
      <c r="F646" s="274">
        <f t="shared" si="137"/>
        <v>6715</v>
      </c>
      <c r="G646" s="275">
        <f t="shared" si="137"/>
        <v>0</v>
      </c>
      <c r="H646" s="276">
        <f t="shared" si="137"/>
        <v>0</v>
      </c>
      <c r="I646" s="274">
        <f t="shared" si="137"/>
        <v>1155</v>
      </c>
      <c r="J646" s="275">
        <f t="shared" si="137"/>
        <v>0</v>
      </c>
      <c r="K646" s="276">
        <f t="shared" si="137"/>
        <v>0</v>
      </c>
      <c r="L646" s="273">
        <f t="shared" si="137"/>
        <v>1155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2252</v>
      </c>
      <c r="F647" s="152">
        <v>2252</v>
      </c>
      <c r="G647" s="153"/>
      <c r="H647" s="1418"/>
      <c r="I647" s="152">
        <v>565</v>
      </c>
      <c r="J647" s="153"/>
      <c r="K647" s="1418"/>
      <c r="L647" s="281">
        <f aca="true" t="shared" si="139" ref="L647:L654">I647+J647+K647</f>
        <v>565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 t="shared" si="138"/>
        <v>1613</v>
      </c>
      <c r="F648" s="158">
        <v>1613</v>
      </c>
      <c r="G648" s="159"/>
      <c r="H648" s="1420"/>
      <c r="I648" s="158">
        <v>213</v>
      </c>
      <c r="J648" s="159"/>
      <c r="K648" s="1420"/>
      <c r="L648" s="295">
        <f t="shared" si="139"/>
        <v>213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1800</v>
      </c>
      <c r="F650" s="158">
        <v>1800</v>
      </c>
      <c r="G650" s="159"/>
      <c r="H650" s="1420"/>
      <c r="I650" s="158">
        <v>238</v>
      </c>
      <c r="J650" s="159"/>
      <c r="K650" s="1420"/>
      <c r="L650" s="295">
        <f t="shared" si="139"/>
        <v>238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1050</v>
      </c>
      <c r="F651" s="158">
        <v>1050</v>
      </c>
      <c r="G651" s="159"/>
      <c r="H651" s="1420"/>
      <c r="I651" s="158">
        <v>139</v>
      </c>
      <c r="J651" s="159"/>
      <c r="K651" s="1420"/>
      <c r="L651" s="295">
        <f t="shared" si="139"/>
        <v>139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3" t="s">
        <v>199</v>
      </c>
      <c r="D654" s="1784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0" t="s">
        <v>200</v>
      </c>
      <c r="D655" s="1771"/>
      <c r="E655" s="310">
        <f aca="true" t="shared" si="140" ref="E655:L655">SUM(E656:E672)</f>
        <v>8784</v>
      </c>
      <c r="F655" s="274">
        <f t="shared" si="140"/>
        <v>8784</v>
      </c>
      <c r="G655" s="275">
        <f t="shared" si="140"/>
        <v>0</v>
      </c>
      <c r="H655" s="276">
        <f t="shared" si="140"/>
        <v>0</v>
      </c>
      <c r="I655" s="274">
        <f t="shared" si="140"/>
        <v>8784</v>
      </c>
      <c r="J655" s="275">
        <f t="shared" si="140"/>
        <v>0</v>
      </c>
      <c r="K655" s="276">
        <f t="shared" si="140"/>
        <v>0</v>
      </c>
      <c r="L655" s="310">
        <f t="shared" si="140"/>
        <v>8784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8784</v>
      </c>
      <c r="F660" s="158">
        <v>8784</v>
      </c>
      <c r="G660" s="159"/>
      <c r="H660" s="1420"/>
      <c r="I660" s="158">
        <v>8784</v>
      </c>
      <c r="J660" s="159"/>
      <c r="K660" s="1420"/>
      <c r="L660" s="295">
        <f t="shared" si="142"/>
        <v>8784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1" t="s">
        <v>272</v>
      </c>
      <c r="D673" s="1782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1" t="s">
        <v>722</v>
      </c>
      <c r="D677" s="1782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1" t="s">
        <v>219</v>
      </c>
      <c r="D683" s="1782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1" t="s">
        <v>221</v>
      </c>
      <c r="D686" s="1782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7" t="s">
        <v>222</v>
      </c>
      <c r="D687" s="178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7" t="s">
        <v>223</v>
      </c>
      <c r="D688" s="178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7" t="s">
        <v>1662</v>
      </c>
      <c r="D689" s="178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1" t="s">
        <v>224</v>
      </c>
      <c r="D690" s="1782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1659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1" t="s">
        <v>234</v>
      </c>
      <c r="D705" s="1782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1" t="s">
        <v>235</v>
      </c>
      <c r="D706" s="1782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1" t="s">
        <v>236</v>
      </c>
      <c r="D707" s="1782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1" t="s">
        <v>237</v>
      </c>
      <c r="D708" s="1782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1" t="s">
        <v>1663</v>
      </c>
      <c r="D715" s="1782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1" t="s">
        <v>1660</v>
      </c>
      <c r="D719" s="1782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1" t="s">
        <v>1661</v>
      </c>
      <c r="D720" s="1782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7" t="s">
        <v>247</v>
      </c>
      <c r="D721" s="178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1" t="s">
        <v>273</v>
      </c>
      <c r="D722" s="1782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5" t="s">
        <v>248</v>
      </c>
      <c r="D725" s="1786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5" t="s">
        <v>249</v>
      </c>
      <c r="D726" s="178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5" t="s">
        <v>625</v>
      </c>
      <c r="D734" s="178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5" t="s">
        <v>685</v>
      </c>
      <c r="D737" s="178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1" t="s">
        <v>686</v>
      </c>
      <c r="D738" s="1782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915</v>
      </c>
      <c r="D743" s="179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1" t="s">
        <v>694</v>
      </c>
      <c r="D747" s="179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1" t="s">
        <v>694</v>
      </c>
      <c r="D748" s="179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47499</v>
      </c>
      <c r="F752" s="396">
        <f t="shared" si="169"/>
        <v>47499</v>
      </c>
      <c r="G752" s="397">
        <f t="shared" si="169"/>
        <v>0</v>
      </c>
      <c r="H752" s="398">
        <f t="shared" si="169"/>
        <v>0</v>
      </c>
      <c r="I752" s="396">
        <f t="shared" si="169"/>
        <v>14889</v>
      </c>
      <c r="J752" s="397">
        <f t="shared" si="169"/>
        <v>0</v>
      </c>
      <c r="K752" s="398">
        <f t="shared" si="169"/>
        <v>0</v>
      </c>
      <c r="L752" s="395">
        <f t="shared" si="169"/>
        <v>14889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6" t="str">
        <f>$B$7</f>
        <v>ОТЧЕТНИ ДАННИ ПО ЕБК ЗА СМЕТКИТЕ ЗА СРЕДСТВАТА ОТ ЕВРОПЕЙСКИЯ СЪЮЗ - КСФ</v>
      </c>
      <c r="C759" s="1807"/>
      <c r="D759" s="1807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76" t="str">
        <f>$B$9</f>
        <v>Дулово</v>
      </c>
      <c r="C761" s="1777"/>
      <c r="D761" s="1778"/>
      <c r="E761" s="115">
        <f>$E$9</f>
        <v>43466</v>
      </c>
      <c r="F761" s="226">
        <f>$F$9</f>
        <v>43830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39" t="str">
        <f>$B$12</f>
        <v>Дулово</v>
      </c>
      <c r="C764" s="1840"/>
      <c r="D764" s="1841"/>
      <c r="E764" s="410" t="s">
        <v>890</v>
      </c>
      <c r="F764" s="1360" t="str">
        <f>$F$12</f>
        <v>6903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5" t="s">
        <v>2049</v>
      </c>
      <c r="F768" s="1746"/>
      <c r="G768" s="1746"/>
      <c r="H768" s="1747"/>
      <c r="I768" s="1754" t="s">
        <v>2050</v>
      </c>
      <c r="J768" s="1755"/>
      <c r="K768" s="1755"/>
      <c r="L768" s="1756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664" t="str">
        <f>VLOOKUP(D771,OP_LIST2,2,FALSE)</f>
        <v>98311</v>
      </c>
      <c r="D771" s="1452" t="s">
        <v>1233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3322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3322</v>
      </c>
      <c r="D773" s="1452" t="s">
        <v>2003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4" t="s">
        <v>744</v>
      </c>
      <c r="D775" s="1775"/>
      <c r="E775" s="273">
        <f aca="true" t="shared" si="170" ref="E775:L775">SUM(E776:E777)</f>
        <v>156741</v>
      </c>
      <c r="F775" s="274">
        <f t="shared" si="170"/>
        <v>156741</v>
      </c>
      <c r="G775" s="275">
        <f t="shared" si="170"/>
        <v>0</v>
      </c>
      <c r="H775" s="276">
        <f t="shared" si="170"/>
        <v>0</v>
      </c>
      <c r="I775" s="274">
        <f t="shared" si="170"/>
        <v>104696</v>
      </c>
      <c r="J775" s="275">
        <f t="shared" si="170"/>
        <v>0</v>
      </c>
      <c r="K775" s="276">
        <f t="shared" si="170"/>
        <v>0</v>
      </c>
      <c r="L775" s="273">
        <f t="shared" si="170"/>
        <v>104696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156741</v>
      </c>
      <c r="F776" s="152">
        <v>156741</v>
      </c>
      <c r="G776" s="153"/>
      <c r="H776" s="1418"/>
      <c r="I776" s="152">
        <v>104696</v>
      </c>
      <c r="J776" s="153"/>
      <c r="K776" s="1418"/>
      <c r="L776" s="281">
        <f>I776+J776+K776</f>
        <v>104696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0" t="s">
        <v>747</v>
      </c>
      <c r="D778" s="1771"/>
      <c r="E778" s="273">
        <f aca="true" t="shared" si="172" ref="E778:L778">SUM(E779:E783)</f>
        <v>620</v>
      </c>
      <c r="F778" s="274">
        <f t="shared" si="172"/>
        <v>620</v>
      </c>
      <c r="G778" s="275">
        <f t="shared" si="172"/>
        <v>0</v>
      </c>
      <c r="H778" s="276">
        <f t="shared" si="172"/>
        <v>0</v>
      </c>
      <c r="I778" s="274">
        <f t="shared" si="172"/>
        <v>620</v>
      </c>
      <c r="J778" s="275">
        <f t="shared" si="172"/>
        <v>0</v>
      </c>
      <c r="K778" s="276">
        <f t="shared" si="172"/>
        <v>0</v>
      </c>
      <c r="L778" s="273">
        <f t="shared" si="172"/>
        <v>620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620</v>
      </c>
      <c r="F780" s="158">
        <v>620</v>
      </c>
      <c r="G780" s="159"/>
      <c r="H780" s="1420"/>
      <c r="I780" s="158">
        <v>620</v>
      </c>
      <c r="J780" s="159"/>
      <c r="K780" s="1420"/>
      <c r="L780" s="295">
        <f>I780+J780+K780</f>
        <v>620</v>
      </c>
      <c r="M780" s="12">
        <f t="shared" si="171"/>
        <v>1</v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2" t="s">
        <v>194</v>
      </c>
      <c r="D784" s="1773"/>
      <c r="E784" s="273">
        <f aca="true" t="shared" si="173" ref="E784:L784">SUM(E785:E791)</f>
        <v>46250</v>
      </c>
      <c r="F784" s="274">
        <f t="shared" si="173"/>
        <v>46250</v>
      </c>
      <c r="G784" s="275">
        <f t="shared" si="173"/>
        <v>0</v>
      </c>
      <c r="H784" s="276">
        <f t="shared" si="173"/>
        <v>0</v>
      </c>
      <c r="I784" s="274">
        <f t="shared" si="173"/>
        <v>23595</v>
      </c>
      <c r="J784" s="275">
        <f t="shared" si="173"/>
        <v>0</v>
      </c>
      <c r="K784" s="276">
        <f t="shared" si="173"/>
        <v>0</v>
      </c>
      <c r="L784" s="273">
        <f t="shared" si="173"/>
        <v>23595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23455</v>
      </c>
      <c r="F785" s="152">
        <v>23455</v>
      </c>
      <c r="G785" s="153"/>
      <c r="H785" s="1418"/>
      <c r="I785" s="152">
        <v>12117</v>
      </c>
      <c r="J785" s="153"/>
      <c r="K785" s="1418"/>
      <c r="L785" s="281">
        <f aca="true" t="shared" si="175" ref="L785:L792">I785+J785+K785</f>
        <v>12117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 t="shared" si="174"/>
        <v>6711</v>
      </c>
      <c r="F786" s="158">
        <v>6711</v>
      </c>
      <c r="G786" s="159"/>
      <c r="H786" s="1420"/>
      <c r="I786" s="158">
        <v>3699</v>
      </c>
      <c r="J786" s="159"/>
      <c r="K786" s="1420"/>
      <c r="L786" s="295">
        <f t="shared" si="175"/>
        <v>3699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10150</v>
      </c>
      <c r="F788" s="158">
        <v>10150</v>
      </c>
      <c r="G788" s="159"/>
      <c r="H788" s="1420"/>
      <c r="I788" s="158">
        <v>5026</v>
      </c>
      <c r="J788" s="159"/>
      <c r="K788" s="1420"/>
      <c r="L788" s="295">
        <f t="shared" si="175"/>
        <v>5026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5934</v>
      </c>
      <c r="F789" s="158">
        <v>5934</v>
      </c>
      <c r="G789" s="159"/>
      <c r="H789" s="1420"/>
      <c r="I789" s="158">
        <v>2753</v>
      </c>
      <c r="J789" s="159"/>
      <c r="K789" s="1420"/>
      <c r="L789" s="295">
        <f t="shared" si="175"/>
        <v>2753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3" t="s">
        <v>199</v>
      </c>
      <c r="D792" s="1784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0" t="s">
        <v>200</v>
      </c>
      <c r="D793" s="1771"/>
      <c r="E793" s="310">
        <f aca="true" t="shared" si="176" ref="E793:L793">SUM(E794:E810)</f>
        <v>44666</v>
      </c>
      <c r="F793" s="274">
        <f t="shared" si="176"/>
        <v>44666</v>
      </c>
      <c r="G793" s="275">
        <f t="shared" si="176"/>
        <v>0</v>
      </c>
      <c r="H793" s="276">
        <f t="shared" si="176"/>
        <v>0</v>
      </c>
      <c r="I793" s="274">
        <f t="shared" si="176"/>
        <v>27695</v>
      </c>
      <c r="J793" s="275">
        <f t="shared" si="176"/>
        <v>0</v>
      </c>
      <c r="K793" s="276">
        <f t="shared" si="176"/>
        <v>0</v>
      </c>
      <c r="L793" s="310">
        <f t="shared" si="176"/>
        <v>27695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28065</v>
      </c>
      <c r="F798" s="158">
        <v>28065</v>
      </c>
      <c r="G798" s="159"/>
      <c r="H798" s="1420"/>
      <c r="I798" s="158">
        <v>15646</v>
      </c>
      <c r="J798" s="159"/>
      <c r="K798" s="1420"/>
      <c r="L798" s="295">
        <f t="shared" si="178"/>
        <v>15646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16401</v>
      </c>
      <c r="F800" s="454">
        <v>16401</v>
      </c>
      <c r="G800" s="455"/>
      <c r="H800" s="1428"/>
      <c r="I800" s="454">
        <v>11990</v>
      </c>
      <c r="J800" s="455"/>
      <c r="K800" s="1428"/>
      <c r="L800" s="320">
        <f t="shared" si="178"/>
        <v>11990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200</v>
      </c>
      <c r="F802" s="454">
        <v>200</v>
      </c>
      <c r="G802" s="455"/>
      <c r="H802" s="1428"/>
      <c r="I802" s="454">
        <v>59</v>
      </c>
      <c r="J802" s="455"/>
      <c r="K802" s="1428"/>
      <c r="L802" s="320">
        <f t="shared" si="178"/>
        <v>59</v>
      </c>
      <c r="M802" s="12">
        <f t="shared" si="171"/>
        <v>1</v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1" t="s">
        <v>272</v>
      </c>
      <c r="D811" s="1782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1" t="s">
        <v>722</v>
      </c>
      <c r="D815" s="1782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1" t="s">
        <v>219</v>
      </c>
      <c r="D821" s="1782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1" t="s">
        <v>221</v>
      </c>
      <c r="D824" s="1782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7" t="s">
        <v>222</v>
      </c>
      <c r="D825" s="1788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7" t="s">
        <v>223</v>
      </c>
      <c r="D826" s="1788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7" t="s">
        <v>1662</v>
      </c>
      <c r="D827" s="1788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1" t="s">
        <v>224</v>
      </c>
      <c r="D828" s="1782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1659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1" t="s">
        <v>234</v>
      </c>
      <c r="D843" s="1782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1" t="s">
        <v>235</v>
      </c>
      <c r="D844" s="1782"/>
      <c r="E844" s="310">
        <f t="shared" si="189"/>
        <v>2547</v>
      </c>
      <c r="F844" s="1422">
        <v>2547</v>
      </c>
      <c r="G844" s="1423"/>
      <c r="H844" s="1424"/>
      <c r="I844" s="1422">
        <v>2547</v>
      </c>
      <c r="J844" s="1423"/>
      <c r="K844" s="1424"/>
      <c r="L844" s="310">
        <f t="shared" si="190"/>
        <v>2547</v>
      </c>
      <c r="M844" s="12">
        <f t="shared" si="191"/>
        <v>1</v>
      </c>
      <c r="N844" s="13"/>
    </row>
    <row r="845" spans="2:14" ht="15.75">
      <c r="B845" s="272">
        <v>4100</v>
      </c>
      <c r="C845" s="1781" t="s">
        <v>236</v>
      </c>
      <c r="D845" s="1782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1" t="s">
        <v>237</v>
      </c>
      <c r="D846" s="1782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1" t="s">
        <v>1663</v>
      </c>
      <c r="D853" s="1782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1" t="s">
        <v>1660</v>
      </c>
      <c r="D857" s="1782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1" t="s">
        <v>1661</v>
      </c>
      <c r="D858" s="1782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7" t="s">
        <v>247</v>
      </c>
      <c r="D859" s="1788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1" t="s">
        <v>273</v>
      </c>
      <c r="D860" s="1782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5" t="s">
        <v>248</v>
      </c>
      <c r="D863" s="1786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5" t="s">
        <v>249</v>
      </c>
      <c r="D864" s="1786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5" t="s">
        <v>625</v>
      </c>
      <c r="D872" s="1786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5" t="s">
        <v>685</v>
      </c>
      <c r="D875" s="1786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1" t="s">
        <v>686</v>
      </c>
      <c r="D876" s="1782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89" t="s">
        <v>915</v>
      </c>
      <c r="D881" s="179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1" t="s">
        <v>694</v>
      </c>
      <c r="D885" s="179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1" t="s">
        <v>694</v>
      </c>
      <c r="D886" s="179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250824</v>
      </c>
      <c r="F890" s="396">
        <f t="shared" si="205"/>
        <v>250824</v>
      </c>
      <c r="G890" s="397">
        <f t="shared" si="205"/>
        <v>0</v>
      </c>
      <c r="H890" s="398">
        <f t="shared" si="205"/>
        <v>0</v>
      </c>
      <c r="I890" s="396">
        <f t="shared" si="205"/>
        <v>159153</v>
      </c>
      <c r="J890" s="397">
        <f t="shared" si="205"/>
        <v>0</v>
      </c>
      <c r="K890" s="398">
        <f t="shared" si="205"/>
        <v>0</v>
      </c>
      <c r="L890" s="395">
        <f t="shared" si="205"/>
        <v>159153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806" t="str">
        <f>$B$7</f>
        <v>ОТЧЕТНИ ДАННИ ПО ЕБК ЗА СМЕТКИТЕ ЗА СРЕДСТВАТА ОТ ЕВРОПЕЙСКИЯ СЪЮЗ - КСФ</v>
      </c>
      <c r="C897" s="1807"/>
      <c r="D897" s="1807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1253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76" t="str">
        <f>$B$9</f>
        <v>Дулово</v>
      </c>
      <c r="C899" s="1777"/>
      <c r="D899" s="1778"/>
      <c r="E899" s="115">
        <f>$E$9</f>
        <v>43466</v>
      </c>
      <c r="F899" s="226">
        <f>$F$9</f>
        <v>43830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39" t="str">
        <f>$B$12</f>
        <v>Дулово</v>
      </c>
      <c r="C902" s="1840"/>
      <c r="D902" s="1841"/>
      <c r="E902" s="410" t="s">
        <v>890</v>
      </c>
      <c r="F902" s="1360" t="str">
        <f>$F$12</f>
        <v>6903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98</v>
      </c>
      <c r="F904" s="414" t="str">
        <f>$F$15</f>
        <v>СЕС - КСФ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45" t="s">
        <v>2049</v>
      </c>
      <c r="F906" s="1746"/>
      <c r="G906" s="1746"/>
      <c r="H906" s="1747"/>
      <c r="I906" s="1754" t="s">
        <v>2050</v>
      </c>
      <c r="J906" s="1755"/>
      <c r="K906" s="1755"/>
      <c r="L906" s="1756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27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664" t="str">
        <f>VLOOKUP(D909,OP_LIST2,2,FALSE)</f>
        <v>98311</v>
      </c>
      <c r="D909" s="1452" t="s">
        <v>1233</v>
      </c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5532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5532</v>
      </c>
      <c r="D911" s="1452" t="s">
        <v>564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74" t="s">
        <v>744</v>
      </c>
      <c r="D913" s="1775"/>
      <c r="E913" s="273">
        <f aca="true" t="shared" si="206" ref="E913:L913">SUM(E914:E915)</f>
        <v>4100</v>
      </c>
      <c r="F913" s="274">
        <f t="shared" si="206"/>
        <v>4100</v>
      </c>
      <c r="G913" s="275">
        <f t="shared" si="206"/>
        <v>0</v>
      </c>
      <c r="H913" s="276">
        <f t="shared" si="206"/>
        <v>0</v>
      </c>
      <c r="I913" s="274">
        <f t="shared" si="206"/>
        <v>4100</v>
      </c>
      <c r="J913" s="275">
        <f t="shared" si="206"/>
        <v>0</v>
      </c>
      <c r="K913" s="276">
        <f t="shared" si="206"/>
        <v>0</v>
      </c>
      <c r="L913" s="273">
        <f t="shared" si="206"/>
        <v>4100</v>
      </c>
      <c r="M913" s="12">
        <f aca="true" t="shared" si="207" ref="M913:M944"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4100</v>
      </c>
      <c r="F914" s="152">
        <v>4100</v>
      </c>
      <c r="G914" s="153"/>
      <c r="H914" s="1418"/>
      <c r="I914" s="152">
        <v>4100</v>
      </c>
      <c r="J914" s="153"/>
      <c r="K914" s="1418"/>
      <c r="L914" s="281">
        <f>I914+J914+K914</f>
        <v>4100</v>
      </c>
      <c r="M914" s="12">
        <f t="shared" si="207"/>
        <v>1</v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70" t="s">
        <v>747</v>
      </c>
      <c r="D916" s="1771"/>
      <c r="E916" s="273">
        <f aca="true" t="shared" si="208" ref="E916:L916">SUM(E917:E921)</f>
        <v>571506</v>
      </c>
      <c r="F916" s="274">
        <f t="shared" si="208"/>
        <v>571506</v>
      </c>
      <c r="G916" s="275">
        <f t="shared" si="208"/>
        <v>0</v>
      </c>
      <c r="H916" s="276">
        <f t="shared" si="208"/>
        <v>0</v>
      </c>
      <c r="I916" s="274">
        <f t="shared" si="208"/>
        <v>544678</v>
      </c>
      <c r="J916" s="275">
        <f t="shared" si="208"/>
        <v>0</v>
      </c>
      <c r="K916" s="276">
        <f t="shared" si="208"/>
        <v>0</v>
      </c>
      <c r="L916" s="273">
        <f t="shared" si="208"/>
        <v>544678</v>
      </c>
      <c r="M916" s="12">
        <f t="shared" si="207"/>
        <v>1</v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571506</v>
      </c>
      <c r="F917" s="152">
        <v>571506</v>
      </c>
      <c r="G917" s="153"/>
      <c r="H917" s="1418"/>
      <c r="I917" s="152">
        <v>544678</v>
      </c>
      <c r="J917" s="153"/>
      <c r="K917" s="1418"/>
      <c r="L917" s="281">
        <f>I917+J917+K917</f>
        <v>544678</v>
      </c>
      <c r="M917" s="12">
        <f t="shared" si="207"/>
        <v>1</v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72" t="s">
        <v>194</v>
      </c>
      <c r="D922" s="1773"/>
      <c r="E922" s="273">
        <f aca="true" t="shared" si="209" ref="E922:L922">SUM(E923:E929)</f>
        <v>106210</v>
      </c>
      <c r="F922" s="274">
        <f t="shared" si="209"/>
        <v>106210</v>
      </c>
      <c r="G922" s="275">
        <f t="shared" si="209"/>
        <v>0</v>
      </c>
      <c r="H922" s="276">
        <f t="shared" si="209"/>
        <v>0</v>
      </c>
      <c r="I922" s="274">
        <f t="shared" si="209"/>
        <v>106210</v>
      </c>
      <c r="J922" s="275">
        <f t="shared" si="209"/>
        <v>0</v>
      </c>
      <c r="K922" s="276">
        <f t="shared" si="209"/>
        <v>0</v>
      </c>
      <c r="L922" s="273">
        <f t="shared" si="209"/>
        <v>106210</v>
      </c>
      <c r="M922" s="12">
        <f t="shared" si="207"/>
        <v>1</v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67690</v>
      </c>
      <c r="F923" s="152">
        <v>67690</v>
      </c>
      <c r="G923" s="153"/>
      <c r="H923" s="1418"/>
      <c r="I923" s="152">
        <v>67690</v>
      </c>
      <c r="J923" s="153"/>
      <c r="K923" s="1418"/>
      <c r="L923" s="281">
        <f aca="true" t="shared" si="211" ref="L923:L930">I923+J923+K923</f>
        <v>67690</v>
      </c>
      <c r="M923" s="12">
        <f t="shared" si="207"/>
        <v>1</v>
      </c>
      <c r="N923" s="13"/>
    </row>
    <row r="924" spans="2:14" ht="15.75">
      <c r="B924" s="291"/>
      <c r="C924" s="304">
        <v>552</v>
      </c>
      <c r="D924" s="305" t="s">
        <v>910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26846</v>
      </c>
      <c r="F926" s="158">
        <v>26846</v>
      </c>
      <c r="G926" s="159"/>
      <c r="H926" s="1420"/>
      <c r="I926" s="158">
        <v>26846</v>
      </c>
      <c r="J926" s="159"/>
      <c r="K926" s="1420"/>
      <c r="L926" s="295">
        <f t="shared" si="211"/>
        <v>26846</v>
      </c>
      <c r="M926" s="12">
        <f t="shared" si="207"/>
        <v>1</v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11674</v>
      </c>
      <c r="F927" s="158">
        <v>11674</v>
      </c>
      <c r="G927" s="159"/>
      <c r="H927" s="1420"/>
      <c r="I927" s="158">
        <v>11674</v>
      </c>
      <c r="J927" s="159"/>
      <c r="K927" s="1420"/>
      <c r="L927" s="295">
        <f t="shared" si="211"/>
        <v>11674</v>
      </c>
      <c r="M927" s="12">
        <f t="shared" si="207"/>
        <v>1</v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83" t="s">
        <v>199</v>
      </c>
      <c r="D930" s="1784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70" t="s">
        <v>200</v>
      </c>
      <c r="D931" s="1771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911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81" t="s">
        <v>272</v>
      </c>
      <c r="D949" s="1782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912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913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914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81" t="s">
        <v>722</v>
      </c>
      <c r="D953" s="1782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81" t="s">
        <v>219</v>
      </c>
      <c r="D959" s="1782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81" t="s">
        <v>221</v>
      </c>
      <c r="D962" s="1782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87" t="s">
        <v>222</v>
      </c>
      <c r="D963" s="1788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87" t="s">
        <v>223</v>
      </c>
      <c r="D964" s="1788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87" t="s">
        <v>1662</v>
      </c>
      <c r="D965" s="1788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81" t="s">
        <v>224</v>
      </c>
      <c r="D966" s="1782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1996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2015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2046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1659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81" t="s">
        <v>234</v>
      </c>
      <c r="D981" s="1782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81" t="s">
        <v>235</v>
      </c>
      <c r="D982" s="1782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81" t="s">
        <v>236</v>
      </c>
      <c r="D983" s="1782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3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81" t="s">
        <v>237</v>
      </c>
      <c r="D984" s="1782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81" t="s">
        <v>1663</v>
      </c>
      <c r="D991" s="1782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81" t="s">
        <v>1660</v>
      </c>
      <c r="D995" s="1782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81" t="s">
        <v>1661</v>
      </c>
      <c r="D996" s="1782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87" t="s">
        <v>247</v>
      </c>
      <c r="D997" s="1788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81" t="s">
        <v>273</v>
      </c>
      <c r="D998" s="1782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85" t="s">
        <v>248</v>
      </c>
      <c r="D1001" s="1786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85" t="s">
        <v>249</v>
      </c>
      <c r="D1002" s="1786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85" t="s">
        <v>625</v>
      </c>
      <c r="D1010" s="1786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85" t="s">
        <v>685</v>
      </c>
      <c r="D1013" s="1786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81" t="s">
        <v>686</v>
      </c>
      <c r="D1014" s="1782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89" t="s">
        <v>915</v>
      </c>
      <c r="D1019" s="1790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3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3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3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91" t="s">
        <v>694</v>
      </c>
      <c r="D1023" s="1792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91" t="s">
        <v>694</v>
      </c>
      <c r="D1024" s="1792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681816</v>
      </c>
      <c r="F1028" s="396">
        <f t="shared" si="241"/>
        <v>681816</v>
      </c>
      <c r="G1028" s="397">
        <f t="shared" si="241"/>
        <v>0</v>
      </c>
      <c r="H1028" s="398">
        <f t="shared" si="241"/>
        <v>0</v>
      </c>
      <c r="I1028" s="396">
        <f t="shared" si="241"/>
        <v>654988</v>
      </c>
      <c r="J1028" s="397">
        <f t="shared" si="241"/>
        <v>0</v>
      </c>
      <c r="K1028" s="398">
        <f t="shared" si="241"/>
        <v>0</v>
      </c>
      <c r="L1028" s="395">
        <f t="shared" si="241"/>
        <v>654988</v>
      </c>
      <c r="M1028" s="12">
        <f t="shared" si="238"/>
        <v>1</v>
      </c>
      <c r="N1028" s="73" t="str">
        <f>LEFT(C910,1)</f>
        <v>5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2066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2067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6">
        <f>$B$7</f>
        <v>0</v>
      </c>
      <c r="J14" s="1807"/>
      <c r="K14" s="180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6">
        <f>$B$9</f>
        <v>0</v>
      </c>
      <c r="J16" s="1777"/>
      <c r="K16" s="177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5" t="s">
        <v>2049</v>
      </c>
      <c r="M23" s="1746"/>
      <c r="N23" s="1746"/>
      <c r="O23" s="1747"/>
      <c r="P23" s="1754" t="s">
        <v>2050</v>
      </c>
      <c r="Q23" s="1755"/>
      <c r="R23" s="1755"/>
      <c r="S23" s="175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744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0" t="s">
        <v>747</v>
      </c>
      <c r="K33" s="177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194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3" t="s">
        <v>199</v>
      </c>
      <c r="K47" s="178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0" t="s">
        <v>200</v>
      </c>
      <c r="K48" s="177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1" t="s">
        <v>272</v>
      </c>
      <c r="K66" s="178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1" t="s">
        <v>722</v>
      </c>
      <c r="K70" s="178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1" t="s">
        <v>219</v>
      </c>
      <c r="K76" s="178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1" t="s">
        <v>221</v>
      </c>
      <c r="K79" s="178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7" t="s">
        <v>222</v>
      </c>
      <c r="K80" s="178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7" t="s">
        <v>223</v>
      </c>
      <c r="K81" s="178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7" t="s">
        <v>1662</v>
      </c>
      <c r="K82" s="178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1" t="s">
        <v>224</v>
      </c>
      <c r="K83" s="178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1" t="s">
        <v>234</v>
      </c>
      <c r="K98" s="178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1" t="s">
        <v>235</v>
      </c>
      <c r="K99" s="178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1" t="s">
        <v>236</v>
      </c>
      <c r="K100" s="178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1" t="s">
        <v>237</v>
      </c>
      <c r="K101" s="178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1" t="s">
        <v>1663</v>
      </c>
      <c r="K108" s="178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1" t="s">
        <v>1660</v>
      </c>
      <c r="K112" s="178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1" t="s">
        <v>1661</v>
      </c>
      <c r="K113" s="178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7" t="s">
        <v>247</v>
      </c>
      <c r="K114" s="178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1" t="s">
        <v>273</v>
      </c>
      <c r="K115" s="178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5" t="s">
        <v>248</v>
      </c>
      <c r="K118" s="178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5" t="s">
        <v>249</v>
      </c>
      <c r="K119" s="178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5" t="s">
        <v>625</v>
      </c>
      <c r="K127" s="178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5" t="s">
        <v>685</v>
      </c>
      <c r="K130" s="178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1" t="s">
        <v>686</v>
      </c>
      <c r="K131" s="178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915</v>
      </c>
      <c r="K136" s="179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1" t="s">
        <v>694</v>
      </c>
      <c r="K140" s="179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694</v>
      </c>
      <c r="K141" s="179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Siana</cp:lastModifiedBy>
  <cp:lastPrinted>2019-01-10T13:58:54Z</cp:lastPrinted>
  <dcterms:created xsi:type="dcterms:W3CDTF">1997-12-10T11:54:07Z</dcterms:created>
  <dcterms:modified xsi:type="dcterms:W3CDTF">2020-02-19T14:08:01Z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